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defaultThemeVersion="124226"/>
  <mc:AlternateContent xmlns:mc="http://schemas.openxmlformats.org/markup-compatibility/2006">
    <mc:Choice Requires="x15">
      <x15ac:absPath xmlns:x15ac="http://schemas.microsoft.com/office/spreadsheetml/2010/11/ac" url="C:\Users\Christin\Desktop\Vereinsbuchhaltung Website\Software\"/>
    </mc:Choice>
  </mc:AlternateContent>
  <xr:revisionPtr revIDLastSave="10" documentId="11_FF0A3C7A8097B8546787C33AAADA8CE14540D99E" xr6:coauthVersionLast="47" xr6:coauthVersionMax="47" xr10:uidLastSave="{40EBFB52-6CEA-4805-93F2-B453595FA9BA}"/>
  <bookViews>
    <workbookView xWindow="0" yWindow="0" windowWidth="24000" windowHeight="9735" tabRatio="789" activeTab="3" xr2:uid="{00000000-000D-0000-FFFF-FFFF00000000}"/>
  </bookViews>
  <sheets>
    <sheet name="Hilfelinks" sheetId="13" r:id="rId1"/>
    <sheet name="Kontenplan" sheetId="1" r:id="rId2"/>
    <sheet name="Projektliste" sheetId="10" r:id="rId3"/>
    <sheet name="Journal" sheetId="2" r:id="rId4"/>
    <sheet name="Calc" sheetId="3" r:id="rId5"/>
    <sheet name="Bilanz" sheetId="4" r:id="rId6"/>
    <sheet name="Erfolgsrechnung" sheetId="5" r:id="rId7"/>
    <sheet name="ER und Budget" sheetId="8" r:id="rId8"/>
    <sheet name="Kontoauszug" sheetId="6" r:id="rId9"/>
    <sheet name="Projektabrechnung" sheetId="9" r:id="rId10"/>
  </sheets>
  <definedNames>
    <definedName name="_xlnm._FilterDatabase" localSheetId="3" hidden="1">Journal!$B$6:$AQ$85</definedName>
    <definedName name="_xlnm.Print_Area" localSheetId="5">Bilanz!$A$3:$J$36</definedName>
    <definedName name="_xlnm.Print_Area" localSheetId="4">Calc!$B$283:$E$284</definedName>
    <definedName name="_xlnm.Print_Area" localSheetId="7">'ER und Budget'!$A$3:$H$48,'ER und Budget'!$J$3:$Q$48</definedName>
    <definedName name="_xlnm.Print_Area" localSheetId="6">Erfolgsrechnung!$A$3:$J$35</definedName>
    <definedName name="_xlnm.Print_Area" localSheetId="0">Hilfelinks!$A$1:$A$34,Hilfelinks!$C$1:$E$43</definedName>
    <definedName name="_xlnm.Print_Area" localSheetId="3">Journal!$D$1:$J$83</definedName>
    <definedName name="_xlnm.Print_Area" localSheetId="1">Kontenplan!$D$2:$F$59</definedName>
    <definedName name="_xlnm.Print_Area" localSheetId="8">Kontoauszug!$B$3:$L$38</definedName>
    <definedName name="_xlnm.Print_Area" localSheetId="9">Projektabrechnung!$B$3:$I$40</definedName>
    <definedName name="_xlnm.Print_Area" localSheetId="2">Projektliste!$C$2:$E$47</definedName>
    <definedName name="_xlnm.Print_Titles" localSheetId="5">Bilanz!$3:$5</definedName>
    <definedName name="_xlnm.Print_Titles" localSheetId="7">'ER und Budget'!$3:$5</definedName>
    <definedName name="_xlnm.Print_Titles" localSheetId="6">Erfolgsrechnung!$3:$5</definedName>
    <definedName name="_xlnm.Print_Titles" localSheetId="3">Journal!$3:$4</definedName>
    <definedName name="_xlnm.Print_Titles" localSheetId="1">Kontenplan!$2:$8</definedName>
    <definedName name="_xlnm.Print_Titles" localSheetId="8">Kontoauszug!$3:$3</definedName>
    <definedName name="_xlnm.Print_Titles" localSheetId="9">Projektabrechnung!$3:$3</definedName>
    <definedName name="_xlnm.Print_Titles" localSheetId="2">Projektliste!$2:$3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9" i="3" l="1"/>
  <c r="L283" i="3"/>
  <c r="H284" i="3" s="1"/>
  <c r="K6" i="2" s="1"/>
  <c r="O81" i="2"/>
  <c r="O80" i="2"/>
  <c r="R2" i="4"/>
  <c r="R3" i="4" s="1"/>
  <c r="R4" i="4" s="1"/>
  <c r="R5" i="4" s="1"/>
  <c r="R6" i="4" s="1"/>
  <c r="R7" i="4" s="1"/>
  <c r="R8" i="4" s="1"/>
  <c r="N283" i="3" s="1"/>
  <c r="AB8" i="4"/>
  <c r="S316" i="4"/>
  <c r="S317" i="4"/>
  <c r="S318" i="4"/>
  <c r="W318" i="4" s="1"/>
  <c r="X318" i="4"/>
  <c r="S319" i="4"/>
  <c r="V319" i="4" s="1"/>
  <c r="X319" i="4"/>
  <c r="S320" i="4"/>
  <c r="V320" i="4" s="1"/>
  <c r="X320" i="4"/>
  <c r="S321" i="4"/>
  <c r="W321" i="4" s="1"/>
  <c r="X321" i="4"/>
  <c r="S322" i="4"/>
  <c r="V322" i="4" s="1"/>
  <c r="X322" i="4"/>
  <c r="S323" i="4"/>
  <c r="V323" i="4" s="1"/>
  <c r="X323" i="4"/>
  <c r="S324" i="4"/>
  <c r="V324" i="4" s="1"/>
  <c r="X324" i="4"/>
  <c r="S325" i="4"/>
  <c r="W325" i="4" s="1"/>
  <c r="X325" i="4"/>
  <c r="J2" i="3"/>
  <c r="C2" i="10" s="1"/>
  <c r="C3" i="3"/>
  <c r="BA5" i="3"/>
  <c r="BB5" i="3"/>
  <c r="BC5" i="3"/>
  <c r="BD5" i="3"/>
  <c r="AB6" i="3"/>
  <c r="AH6" i="3"/>
  <c r="BA6" i="3"/>
  <c r="BB6" i="3"/>
  <c r="BC6" i="3"/>
  <c r="BD6" i="3"/>
  <c r="A7" i="3"/>
  <c r="B7" i="3"/>
  <c r="E7" i="3"/>
  <c r="S7" i="3"/>
  <c r="C7" i="3"/>
  <c r="T7" i="3" s="1"/>
  <c r="V7" i="3"/>
  <c r="A8" i="3"/>
  <c r="B8" i="3"/>
  <c r="C8" i="3"/>
  <c r="T8" i="3" s="1"/>
  <c r="E8" i="3"/>
  <c r="V8" i="3"/>
  <c r="V9" i="3" s="1"/>
  <c r="V10" i="3" s="1"/>
  <c r="V11" i="3" s="1"/>
  <c r="V12" i="3" s="1"/>
  <c r="V13" i="3" s="1"/>
  <c r="V14" i="3" s="1"/>
  <c r="V15" i="3" s="1"/>
  <c r="V16" i="3" s="1"/>
  <c r="V17" i="3" s="1"/>
  <c r="V18" i="3" s="1"/>
  <c r="A9" i="3"/>
  <c r="B9" i="3"/>
  <c r="C9" i="3"/>
  <c r="T9" i="3" s="1"/>
  <c r="A10" i="3"/>
  <c r="B10" i="3"/>
  <c r="C10" i="3"/>
  <c r="T10" i="3" s="1"/>
  <c r="A11" i="3"/>
  <c r="B11" i="3"/>
  <c r="C11" i="3"/>
  <c r="T11" i="3" s="1"/>
  <c r="A12" i="3"/>
  <c r="B12" i="3"/>
  <c r="D12" i="3" s="1"/>
  <c r="C12" i="3"/>
  <c r="T12" i="3" s="1"/>
  <c r="A13" i="3"/>
  <c r="B13" i="3"/>
  <c r="C13" i="3"/>
  <c r="T13" i="3" s="1"/>
  <c r="A14" i="3"/>
  <c r="B14" i="3"/>
  <c r="S14" i="3" s="1"/>
  <c r="C14" i="3"/>
  <c r="T14" i="3"/>
  <c r="A15" i="3"/>
  <c r="B15" i="3"/>
  <c r="C15" i="3"/>
  <c r="T15" i="3"/>
  <c r="A16" i="3"/>
  <c r="B16" i="3"/>
  <c r="C16" i="3"/>
  <c r="T16" i="3"/>
  <c r="A17" i="3"/>
  <c r="B17" i="3"/>
  <c r="C17" i="3"/>
  <c r="T17" i="3"/>
  <c r="A18" i="3"/>
  <c r="B18" i="3"/>
  <c r="D18" i="3" s="1"/>
  <c r="C18" i="3"/>
  <c r="T18" i="3" s="1"/>
  <c r="A19" i="3"/>
  <c r="B19" i="3"/>
  <c r="S19" i="3"/>
  <c r="C19" i="3"/>
  <c r="T19" i="3" s="1"/>
  <c r="A20" i="3"/>
  <c r="B20" i="3"/>
  <c r="C20" i="3"/>
  <c r="T20" i="3" s="1"/>
  <c r="A21" i="3"/>
  <c r="B21" i="3"/>
  <c r="C21" i="3"/>
  <c r="T21" i="3" s="1"/>
  <c r="A22" i="3"/>
  <c r="B22" i="3"/>
  <c r="C22" i="3"/>
  <c r="T22" i="3" s="1"/>
  <c r="A23" i="3"/>
  <c r="B23" i="3"/>
  <c r="D23" i="3" s="1"/>
  <c r="C23" i="3"/>
  <c r="T23" i="3" s="1"/>
  <c r="A24" i="3"/>
  <c r="A25" i="3"/>
  <c r="A26" i="3"/>
  <c r="A27" i="3"/>
  <c r="A28" i="3"/>
  <c r="A29" i="3"/>
  <c r="A30" i="3"/>
  <c r="A31" i="3"/>
  <c r="A32" i="3"/>
  <c r="A33" i="3"/>
  <c r="A34" i="3"/>
  <c r="A35" i="3"/>
  <c r="A36" i="3"/>
  <c r="A37" i="3"/>
  <c r="A38" i="3"/>
  <c r="A39" i="3"/>
  <c r="A40" i="3"/>
  <c r="A41" i="3"/>
  <c r="A42" i="3"/>
  <c r="A43" i="3"/>
  <c r="A44" i="3"/>
  <c r="A45" i="3"/>
  <c r="A46" i="3"/>
  <c r="A47" i="3"/>
  <c r="A48" i="3"/>
  <c r="A49" i="3"/>
  <c r="A50" i="3"/>
  <c r="B50" i="3"/>
  <c r="C50" i="3"/>
  <c r="T50" i="3" s="1"/>
  <c r="A51" i="3"/>
  <c r="B51" i="3"/>
  <c r="D51" i="3"/>
  <c r="C51" i="3"/>
  <c r="T51" i="3" s="1"/>
  <c r="A52" i="3"/>
  <c r="B52" i="3"/>
  <c r="C52" i="3"/>
  <c r="T52" i="3" s="1"/>
  <c r="A53" i="3"/>
  <c r="B53" i="3"/>
  <c r="D53" i="3" s="1"/>
  <c r="C53" i="3"/>
  <c r="T53" i="3" s="1"/>
  <c r="A54" i="3"/>
  <c r="B54" i="3"/>
  <c r="D54" i="3" s="1"/>
  <c r="C54" i="3"/>
  <c r="T54" i="3" s="1"/>
  <c r="A55" i="3"/>
  <c r="B55" i="3"/>
  <c r="C55" i="3"/>
  <c r="T55" i="3" s="1"/>
  <c r="A56" i="3"/>
  <c r="B56" i="3"/>
  <c r="C56" i="3"/>
  <c r="T56" i="3" s="1"/>
  <c r="A57" i="3"/>
  <c r="B57" i="3"/>
  <c r="C57" i="3"/>
  <c r="T57" i="3" s="1"/>
  <c r="A58" i="3"/>
  <c r="A59" i="3"/>
  <c r="A60" i="3"/>
  <c r="A61" i="3"/>
  <c r="A62" i="3"/>
  <c r="A63" i="3"/>
  <c r="A64" i="3"/>
  <c r="A65" i="3"/>
  <c r="A66" i="3"/>
  <c r="A67" i="3"/>
  <c r="A68" i="3"/>
  <c r="A69" i="3"/>
  <c r="A70" i="3"/>
  <c r="A71" i="3"/>
  <c r="A72" i="3"/>
  <c r="A73" i="3"/>
  <c r="A74" i="3"/>
  <c r="B74" i="3"/>
  <c r="D74" i="3"/>
  <c r="C74" i="3"/>
  <c r="T74" i="3" s="1"/>
  <c r="A75" i="3"/>
  <c r="B75" i="3"/>
  <c r="D75" i="3" s="1"/>
  <c r="C75" i="3"/>
  <c r="T75" i="3" s="1"/>
  <c r="A76" i="3"/>
  <c r="B76" i="3"/>
  <c r="D76" i="3" s="1"/>
  <c r="C76" i="3"/>
  <c r="T76" i="3"/>
  <c r="A77" i="3"/>
  <c r="B77" i="3"/>
  <c r="S77" i="3" s="1"/>
  <c r="C77" i="3"/>
  <c r="T77" i="3" s="1"/>
  <c r="A78" i="3"/>
  <c r="B78" i="3"/>
  <c r="C78" i="3"/>
  <c r="T78" i="3" s="1"/>
  <c r="A79" i="3"/>
  <c r="B79" i="3"/>
  <c r="D79" i="3" s="1"/>
  <c r="C79" i="3"/>
  <c r="T79" i="3" s="1"/>
  <c r="A80" i="3"/>
  <c r="B80" i="3"/>
  <c r="S80" i="3" s="1"/>
  <c r="C80" i="3"/>
  <c r="T80" i="3" s="1"/>
  <c r="A81" i="3"/>
  <c r="B81" i="3"/>
  <c r="S81" i="3" s="1"/>
  <c r="C81" i="3"/>
  <c r="T81" i="3" s="1"/>
  <c r="A82" i="3"/>
  <c r="B82" i="3"/>
  <c r="S82" i="3"/>
  <c r="C82" i="3"/>
  <c r="T82" i="3" s="1"/>
  <c r="A83" i="3"/>
  <c r="B83" i="3"/>
  <c r="S83" i="3" s="1"/>
  <c r="C83" i="3"/>
  <c r="T83" i="3" s="1"/>
  <c r="A84" i="3"/>
  <c r="B84" i="3"/>
  <c r="S84" i="3" s="1"/>
  <c r="C84" i="3"/>
  <c r="T84" i="3"/>
  <c r="A85" i="3"/>
  <c r="B85" i="3"/>
  <c r="C85" i="3"/>
  <c r="T85" i="3"/>
  <c r="A86" i="3"/>
  <c r="B86" i="3"/>
  <c r="D86" i="3" s="1"/>
  <c r="C86" i="3"/>
  <c r="T86" i="3" s="1"/>
  <c r="A87" i="3"/>
  <c r="B87" i="3"/>
  <c r="C87" i="3"/>
  <c r="T87" i="3" s="1"/>
  <c r="A88" i="3"/>
  <c r="B88" i="3"/>
  <c r="C88" i="3"/>
  <c r="T88" i="3" s="1"/>
  <c r="A89" i="3"/>
  <c r="B89" i="3"/>
  <c r="C89" i="3"/>
  <c r="T89" i="3" s="1"/>
  <c r="S89" i="3"/>
  <c r="A90" i="3"/>
  <c r="B90" i="3"/>
  <c r="C90" i="3"/>
  <c r="T90" i="3"/>
  <c r="A91" i="3"/>
  <c r="B91" i="3"/>
  <c r="C91" i="3"/>
  <c r="T91" i="3"/>
  <c r="A92" i="3"/>
  <c r="B92" i="3"/>
  <c r="S92" i="3" s="1"/>
  <c r="C92" i="3"/>
  <c r="T92" i="3" s="1"/>
  <c r="A93" i="3"/>
  <c r="B93" i="3"/>
  <c r="C93" i="3"/>
  <c r="T93" i="3" s="1"/>
  <c r="A94" i="3"/>
  <c r="B94" i="3"/>
  <c r="C94" i="3"/>
  <c r="T94" i="3" s="1"/>
  <c r="A95" i="3"/>
  <c r="B95" i="3"/>
  <c r="C95" i="3"/>
  <c r="T95" i="3" s="1"/>
  <c r="A96" i="3"/>
  <c r="B96" i="3"/>
  <c r="C96" i="3"/>
  <c r="T96" i="3" s="1"/>
  <c r="A97" i="3"/>
  <c r="B97" i="3"/>
  <c r="S97" i="3" s="1"/>
  <c r="C97" i="3"/>
  <c r="T97" i="3" s="1"/>
  <c r="A98" i="3"/>
  <c r="B98" i="3"/>
  <c r="C98" i="3"/>
  <c r="T98" i="3" s="1"/>
  <c r="A99" i="3"/>
  <c r="B99" i="3"/>
  <c r="C99" i="3"/>
  <c r="T99" i="3" s="1"/>
  <c r="A100" i="3"/>
  <c r="B100" i="3"/>
  <c r="C100" i="3"/>
  <c r="T100" i="3" s="1"/>
  <c r="A101" i="3"/>
  <c r="B101" i="3"/>
  <c r="D101" i="3" s="1"/>
  <c r="C101" i="3"/>
  <c r="T101" i="3" s="1"/>
  <c r="A102" i="3"/>
  <c r="B102" i="3"/>
  <c r="C102" i="3"/>
  <c r="T102" i="3" s="1"/>
  <c r="A103" i="3"/>
  <c r="B103" i="3"/>
  <c r="C103" i="3"/>
  <c r="T103" i="3" s="1"/>
  <c r="A104" i="3"/>
  <c r="B104" i="3"/>
  <c r="C104" i="3"/>
  <c r="T104" i="3" s="1"/>
  <c r="A105" i="3"/>
  <c r="B105" i="3"/>
  <c r="S105" i="3" s="1"/>
  <c r="C105" i="3"/>
  <c r="T105" i="3" s="1"/>
  <c r="A106" i="3"/>
  <c r="B106" i="3"/>
  <c r="C106" i="3"/>
  <c r="T106" i="3" s="1"/>
  <c r="A107" i="3"/>
  <c r="B107" i="3"/>
  <c r="C107" i="3"/>
  <c r="T107" i="3" s="1"/>
  <c r="A108" i="3"/>
  <c r="B108" i="3"/>
  <c r="C108" i="3"/>
  <c r="T108" i="3" s="1"/>
  <c r="A109" i="3"/>
  <c r="B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B274" i="3"/>
  <c r="D274" i="3" s="1"/>
  <c r="C274" i="3"/>
  <c r="T274" i="3" s="1"/>
  <c r="S274" i="3"/>
  <c r="A275" i="3"/>
  <c r="B275" i="3"/>
  <c r="C275" i="3"/>
  <c r="T275" i="3" s="1"/>
  <c r="E275" i="3"/>
  <c r="J277" i="3"/>
  <c r="K277" i="3"/>
  <c r="L277" i="3"/>
  <c r="M277" i="3"/>
  <c r="AI277" i="3"/>
  <c r="F278" i="3"/>
  <c r="J278" i="3" s="1"/>
  <c r="G278" i="3"/>
  <c r="K278" i="3" s="1"/>
  <c r="L278" i="3"/>
  <c r="M278" i="3"/>
  <c r="AI278" i="3"/>
  <c r="AI279" i="3"/>
  <c r="AI280" i="3"/>
  <c r="AI281" i="3"/>
  <c r="AI282" i="3"/>
  <c r="I283" i="3"/>
  <c r="AI283" i="3"/>
  <c r="AI284" i="3"/>
  <c r="AI285" i="3"/>
  <c r="AI286" i="3"/>
  <c r="AI287" i="3"/>
  <c r="AI288" i="3"/>
  <c r="AI289" i="3"/>
  <c r="AI290" i="3"/>
  <c r="AI291" i="3"/>
  <c r="AI292" i="3"/>
  <c r="AI293" i="3"/>
  <c r="AI294" i="3"/>
  <c r="AI295" i="3"/>
  <c r="AI296" i="3"/>
  <c r="AI297" i="3"/>
  <c r="AI298" i="3"/>
  <c r="AB2" i="8"/>
  <c r="AB3" i="8" s="1"/>
  <c r="AB4" i="8" s="1"/>
  <c r="AB5" i="8" s="1"/>
  <c r="AB6" i="8" s="1"/>
  <c r="AB7" i="8" s="1"/>
  <c r="AB8" i="8" s="1"/>
  <c r="N285" i="3" s="1"/>
  <c r="E5" i="8"/>
  <c r="N5" i="8" s="1"/>
  <c r="F5" i="8"/>
  <c r="O5" i="8" s="1"/>
  <c r="H5" i="8"/>
  <c r="Q5" i="8" s="1"/>
  <c r="M5" i="8"/>
  <c r="P5" i="8"/>
  <c r="T2" i="5"/>
  <c r="T3" i="5" s="1"/>
  <c r="T4" i="5" s="1"/>
  <c r="T5" i="5" s="1"/>
  <c r="T6" i="5" s="1"/>
  <c r="T7" i="5" s="1"/>
  <c r="T8" i="5" s="1"/>
  <c r="N284" i="3" s="1"/>
  <c r="B1" i="2"/>
  <c r="B2" i="2"/>
  <c r="B3"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O7" i="2"/>
  <c r="L8" i="2"/>
  <c r="M8" i="2"/>
  <c r="O8" i="2"/>
  <c r="K8" i="2" s="1"/>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L83" i="2"/>
  <c r="M83" i="2"/>
  <c r="N83" i="2"/>
  <c r="O83" i="2"/>
  <c r="F4" i="1"/>
  <c r="F3" i="1" s="1"/>
  <c r="H9" i="1"/>
  <c r="I9" i="1"/>
  <c r="Q9" i="1"/>
  <c r="R9" i="1"/>
  <c r="S9" i="1"/>
  <c r="T9" i="1"/>
  <c r="U9" i="1"/>
  <c r="BD7" i="3" s="1"/>
  <c r="W9" i="1"/>
  <c r="W10"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B10" i="1"/>
  <c r="B11" i="1" s="1"/>
  <c r="B12" i="1" s="1"/>
  <c r="B13" i="1" s="1"/>
  <c r="B14" i="1" s="1"/>
  <c r="B15" i="1" s="1"/>
  <c r="B16" i="1" s="1"/>
  <c r="B17" i="1" s="1"/>
  <c r="B18" i="1" s="1"/>
  <c r="B19" i="1" s="1"/>
  <c r="B20" i="1" s="1"/>
  <c r="B21" i="1" s="1"/>
  <c r="B22" i="1" s="1"/>
  <c r="B23" i="1" s="1"/>
  <c r="H10" i="1"/>
  <c r="I10" i="1"/>
  <c r="Q10" i="1"/>
  <c r="H11" i="1"/>
  <c r="L1" i="6" s="1"/>
  <c r="I11" i="1"/>
  <c r="Q11" i="1"/>
  <c r="W11" i="1"/>
  <c r="H12" i="1"/>
  <c r="I12" i="1"/>
  <c r="Q12" i="1"/>
  <c r="W12" i="1"/>
  <c r="H13" i="1"/>
  <c r="I13" i="1"/>
  <c r="Q13" i="1"/>
  <c r="W13" i="1"/>
  <c r="W14" i="1"/>
  <c r="W15" i="1" s="1"/>
  <c r="W16" i="1"/>
  <c r="W17" i="1"/>
  <c r="W18" i="1"/>
  <c r="W19" i="1" s="1"/>
  <c r="H14" i="1"/>
  <c r="I14" i="1"/>
  <c r="Q14" i="1"/>
  <c r="H15" i="1"/>
  <c r="I15" i="1"/>
  <c r="Q15" i="1"/>
  <c r="H16" i="1"/>
  <c r="I16" i="1"/>
  <c r="Q16" i="1"/>
  <c r="H17" i="1"/>
  <c r="I17" i="1"/>
  <c r="Q17" i="1"/>
  <c r="H18" i="1"/>
  <c r="I18" i="1"/>
  <c r="Q18" i="1"/>
  <c r="H19" i="1"/>
  <c r="I19" i="1"/>
  <c r="Q19" i="1"/>
  <c r="W20" i="1"/>
  <c r="W21" i="1"/>
  <c r="W22" i="1"/>
  <c r="W23" i="1"/>
  <c r="W24" i="1" s="1"/>
  <c r="W25" i="1"/>
  <c r="W26" i="1"/>
  <c r="W27" i="1"/>
  <c r="W28" i="1" s="1"/>
  <c r="W29" i="1"/>
  <c r="W30" i="1"/>
  <c r="W31" i="1"/>
  <c r="W32" i="1" s="1"/>
  <c r="W33" i="1"/>
  <c r="W34" i="1"/>
  <c r="W35" i="1"/>
  <c r="W36" i="1" s="1"/>
  <c r="W37" i="1"/>
  <c r="W38" i="1"/>
  <c r="W39" i="1"/>
  <c r="W40" i="1"/>
  <c r="W41" i="1"/>
  <c r="W42" i="1"/>
  <c r="W43" i="1"/>
  <c r="W44" i="1"/>
  <c r="W45" i="1"/>
  <c r="W46" i="1"/>
  <c r="W47" i="1"/>
  <c r="W48" i="1"/>
  <c r="W49" i="1"/>
  <c r="W50" i="1"/>
  <c r="W51" i="1"/>
  <c r="W52" i="1"/>
  <c r="W53" i="1"/>
  <c r="W54" i="1"/>
  <c r="W55" i="1" s="1"/>
  <c r="W56" i="1"/>
  <c r="W57" i="1"/>
  <c r="W58" i="1"/>
  <c r="W59" i="1" s="1"/>
  <c r="W60" i="1" s="1"/>
  <c r="W61" i="1"/>
  <c r="W62" i="1"/>
  <c r="W63" i="1"/>
  <c r="W64" i="1"/>
  <c r="W65" i="1"/>
  <c r="W66" i="1"/>
  <c r="W67" i="1"/>
  <c r="W68" i="1"/>
  <c r="W69" i="1"/>
  <c r="W70" i="1"/>
  <c r="W71" i="1"/>
  <c r="W72" i="1"/>
  <c r="W73" i="1"/>
  <c r="W74" i="1"/>
  <c r="W75" i="1"/>
  <c r="W76" i="1"/>
  <c r="W77" i="1"/>
  <c r="W78" i="1"/>
  <c r="W79" i="1"/>
  <c r="W80" i="1"/>
  <c r="W81" i="1"/>
  <c r="W82" i="1"/>
  <c r="W83" i="1"/>
  <c r="W84" i="1"/>
  <c r="W85" i="1"/>
  <c r="W86" i="1" s="1"/>
  <c r="W87" i="1"/>
  <c r="W88" i="1" s="1"/>
  <c r="W89" i="1" s="1"/>
  <c r="W90" i="1" s="1"/>
  <c r="W91" i="1" s="1"/>
  <c r="W92" i="1" s="1"/>
  <c r="W93" i="1" s="1"/>
  <c r="W94" i="1" s="1"/>
  <c r="W95" i="1" s="1"/>
  <c r="W96" i="1" s="1"/>
  <c r="W97" i="1" s="1"/>
  <c r="W98" i="1" s="1"/>
  <c r="W99" i="1"/>
  <c r="W100" i="1" s="1"/>
  <c r="W101" i="1" s="1"/>
  <c r="W102" i="1" s="1"/>
  <c r="W103" i="1" s="1"/>
  <c r="W104" i="1" s="1"/>
  <c r="W105" i="1" s="1"/>
  <c r="W106" i="1" s="1"/>
  <c r="W107" i="1" s="1"/>
  <c r="W108" i="1" s="1"/>
  <c r="W109" i="1" s="1"/>
  <c r="W110" i="1" s="1"/>
  <c r="W111" i="1" s="1"/>
  <c r="W112" i="1" s="1"/>
  <c r="W113" i="1" s="1"/>
  <c r="W114" i="1" s="1"/>
  <c r="W115" i="1" s="1"/>
  <c r="W116" i="1" s="1"/>
  <c r="W117" i="1" s="1"/>
  <c r="W118" i="1" s="1"/>
  <c r="W119" i="1" s="1"/>
  <c r="W120" i="1" s="1"/>
  <c r="W121" i="1" s="1"/>
  <c r="W122" i="1" s="1"/>
  <c r="W123" i="1" s="1"/>
  <c r="W124" i="1" s="1"/>
  <c r="W125" i="1" s="1"/>
  <c r="W126" i="1" s="1"/>
  <c r="W127" i="1" s="1"/>
  <c r="W128" i="1" s="1"/>
  <c r="W129" i="1" s="1"/>
  <c r="W130" i="1" s="1"/>
  <c r="W131" i="1" s="1"/>
  <c r="W132" i="1" s="1"/>
  <c r="W133" i="1" s="1"/>
  <c r="W134" i="1" s="1"/>
  <c r="W135" i="1" s="1"/>
  <c r="W136" i="1" s="1"/>
  <c r="W137" i="1" s="1"/>
  <c r="W138" i="1" s="1"/>
  <c r="W139" i="1" s="1"/>
  <c r="W140" i="1" s="1"/>
  <c r="W141" i="1" s="1"/>
  <c r="W142" i="1" s="1"/>
  <c r="W143" i="1" s="1"/>
  <c r="W144" i="1" s="1"/>
  <c r="W145" i="1" s="1"/>
  <c r="W146" i="1" s="1"/>
  <c r="W147" i="1" s="1"/>
  <c r="W148" i="1" s="1"/>
  <c r="W149" i="1" s="1"/>
  <c r="W150" i="1" s="1"/>
  <c r="W151" i="1" s="1"/>
  <c r="W152" i="1" s="1"/>
  <c r="W153" i="1" s="1"/>
  <c r="W154" i="1" s="1"/>
  <c r="W155" i="1" s="1"/>
  <c r="W156" i="1" s="1"/>
  <c r="W157" i="1" s="1"/>
  <c r="W158" i="1" s="1"/>
  <c r="W159" i="1" s="1"/>
  <c r="W160" i="1" s="1"/>
  <c r="W161" i="1" s="1"/>
  <c r="W162" i="1" s="1"/>
  <c r="W163" i="1" s="1"/>
  <c r="W164" i="1" s="1"/>
  <c r="W165" i="1" s="1"/>
  <c r="W166" i="1" s="1"/>
  <c r="W167" i="1" s="1"/>
  <c r="W168" i="1" s="1"/>
  <c r="W169" i="1" s="1"/>
  <c r="W170" i="1" s="1"/>
  <c r="W171" i="1" s="1"/>
  <c r="W172" i="1" s="1"/>
  <c r="W173" i="1" s="1"/>
  <c r="W174" i="1" s="1"/>
  <c r="W175" i="1" s="1"/>
  <c r="W176" i="1" s="1"/>
  <c r="W177" i="1" s="1"/>
  <c r="W178" i="1" s="1"/>
  <c r="W179" i="1" s="1"/>
  <c r="W180" i="1" s="1"/>
  <c r="W181" i="1" s="1"/>
  <c r="W182" i="1" s="1"/>
  <c r="W183" i="1" s="1"/>
  <c r="W184" i="1" s="1"/>
  <c r="W185" i="1" s="1"/>
  <c r="W186" i="1" s="1"/>
  <c r="W187" i="1" s="1"/>
  <c r="W188" i="1" s="1"/>
  <c r="W189" i="1" s="1"/>
  <c r="W190" i="1" s="1"/>
  <c r="W191" i="1" s="1"/>
  <c r="W192" i="1" s="1"/>
  <c r="W193" i="1" s="1"/>
  <c r="H20" i="1"/>
  <c r="I20" i="1"/>
  <c r="Q20" i="1"/>
  <c r="H21" i="1"/>
  <c r="I21" i="1"/>
  <c r="Q21" i="1"/>
  <c r="H22" i="1"/>
  <c r="I22" i="1"/>
  <c r="Q22" i="1"/>
  <c r="B24" i="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H23" i="1"/>
  <c r="I23" i="1"/>
  <c r="Q23" i="1"/>
  <c r="H24" i="1"/>
  <c r="I24" i="1"/>
  <c r="Q24" i="1"/>
  <c r="H25" i="1"/>
  <c r="I25" i="1"/>
  <c r="Q25" i="1"/>
  <c r="H26" i="1"/>
  <c r="H27" i="1"/>
  <c r="H28" i="1"/>
  <c r="H29" i="1"/>
  <c r="H30" i="1"/>
  <c r="H31" i="1"/>
  <c r="H32" i="1"/>
  <c r="H33" i="1"/>
  <c r="H34" i="1"/>
  <c r="H35" i="1"/>
  <c r="H36" i="1"/>
  <c r="H37" i="1"/>
  <c r="H38" i="1"/>
  <c r="H39" i="1"/>
  <c r="H40" i="1"/>
  <c r="H41" i="1"/>
  <c r="H42" i="1"/>
  <c r="H43" i="1"/>
  <c r="H44" i="1"/>
  <c r="H45" i="1"/>
  <c r="H46" i="1"/>
  <c r="H47" i="1"/>
  <c r="H48" i="1"/>
  <c r="H49" i="1"/>
  <c r="H50" i="1"/>
  <c r="H51" i="1"/>
  <c r="H52" i="1"/>
  <c r="I52" i="1"/>
  <c r="Q52" i="1"/>
  <c r="H53" i="1"/>
  <c r="Q53" i="1"/>
  <c r="H54" i="1"/>
  <c r="I54" i="1"/>
  <c r="Q54" i="1"/>
  <c r="H55" i="1"/>
  <c r="I55" i="1"/>
  <c r="Q55" i="1"/>
  <c r="H56" i="1"/>
  <c r="I56" i="1"/>
  <c r="Q56" i="1"/>
  <c r="H57" i="1"/>
  <c r="I57" i="1"/>
  <c r="Q57" i="1"/>
  <c r="H58" i="1"/>
  <c r="I58" i="1"/>
  <c r="Q58" i="1"/>
  <c r="H59" i="1"/>
  <c r="I59" i="1"/>
  <c r="Q59" i="1"/>
  <c r="C58" i="3"/>
  <c r="T58" i="3"/>
  <c r="H60" i="1"/>
  <c r="C59" i="3"/>
  <c r="T59" i="3"/>
  <c r="H61" i="1"/>
  <c r="H62" i="1"/>
  <c r="H63" i="1"/>
  <c r="H64" i="1"/>
  <c r="H65" i="1"/>
  <c r="H66" i="1"/>
  <c r="H67" i="1"/>
  <c r="H68" i="1"/>
  <c r="H69" i="1"/>
  <c r="H70" i="1"/>
  <c r="H71" i="1"/>
  <c r="H72" i="1"/>
  <c r="H73" i="1"/>
  <c r="H74" i="1"/>
  <c r="H75" i="1"/>
  <c r="H76" i="1"/>
  <c r="I76" i="1"/>
  <c r="Q76" i="1"/>
  <c r="H77" i="1"/>
  <c r="I77" i="1"/>
  <c r="Q77" i="1"/>
  <c r="H78" i="1"/>
  <c r="I78" i="1"/>
  <c r="Q78" i="1"/>
  <c r="H79" i="1"/>
  <c r="I79" i="1"/>
  <c r="Q79" i="1"/>
  <c r="H80" i="1"/>
  <c r="I80" i="1"/>
  <c r="Q80" i="1"/>
  <c r="H81" i="1"/>
  <c r="I81" i="1"/>
  <c r="Q81" i="1"/>
  <c r="H82" i="1"/>
  <c r="I82" i="1"/>
  <c r="Q82" i="1"/>
  <c r="H83" i="1"/>
  <c r="I83" i="1"/>
  <c r="Q83" i="1"/>
  <c r="H84" i="1"/>
  <c r="I84" i="1"/>
  <c r="Q84" i="1"/>
  <c r="H85" i="1"/>
  <c r="I85" i="1"/>
  <c r="Q85" i="1"/>
  <c r="H86" i="1"/>
  <c r="I86" i="1"/>
  <c r="Q86" i="1"/>
  <c r="H87" i="1"/>
  <c r="I87" i="1"/>
  <c r="Q87" i="1"/>
  <c r="I88" i="1"/>
  <c r="Q88" i="1"/>
  <c r="I89" i="1"/>
  <c r="Q89" i="1"/>
  <c r="I90" i="1"/>
  <c r="Q90" i="1"/>
  <c r="I91" i="1"/>
  <c r="Q91" i="1"/>
  <c r="I92" i="1"/>
  <c r="Q92" i="1"/>
  <c r="I93" i="1"/>
  <c r="Q93" i="1"/>
  <c r="I94" i="1"/>
  <c r="Q94" i="1"/>
  <c r="I95" i="1"/>
  <c r="Q95" i="1"/>
  <c r="I96" i="1"/>
  <c r="Q96" i="1"/>
  <c r="I97" i="1"/>
  <c r="Q97" i="1"/>
  <c r="I98" i="1"/>
  <c r="Q98" i="1"/>
  <c r="I99" i="1"/>
  <c r="Q99" i="1"/>
  <c r="I100" i="1"/>
  <c r="Q100" i="1"/>
  <c r="I101" i="1"/>
  <c r="Q101" i="1"/>
  <c r="I102" i="1"/>
  <c r="Q102" i="1"/>
  <c r="I103" i="1"/>
  <c r="Q103" i="1"/>
  <c r="I104" i="1"/>
  <c r="Q104" i="1"/>
  <c r="I105" i="1"/>
  <c r="Q105" i="1"/>
  <c r="I106" i="1"/>
  <c r="Q106" i="1"/>
  <c r="I107" i="1"/>
  <c r="Q107" i="1"/>
  <c r="I108" i="1"/>
  <c r="Q108" i="1"/>
  <c r="I109" i="1"/>
  <c r="Q109" i="1"/>
  <c r="I110" i="1"/>
  <c r="Q110" i="1"/>
  <c r="C109" i="3"/>
  <c r="T109" i="3" s="1"/>
  <c r="I111" i="1"/>
  <c r="Q111" i="1"/>
  <c r="Q112"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Q276" i="1"/>
  <c r="H277" i="1"/>
  <c r="I277" i="1"/>
  <c r="Q277" i="1"/>
  <c r="H278" i="1"/>
  <c r="Q278" i="1"/>
  <c r="C279" i="1"/>
  <c r="C280" i="1"/>
  <c r="C281" i="1"/>
  <c r="C282" i="1"/>
  <c r="B3" i="6"/>
  <c r="F3" i="6" s="1"/>
  <c r="H3" i="6"/>
  <c r="L3" i="6"/>
  <c r="W5" i="6"/>
  <c r="W8" i="6"/>
  <c r="A9" i="6"/>
  <c r="R9" i="6"/>
  <c r="R10" i="6" s="1"/>
  <c r="R11" i="6" s="1"/>
  <c r="R12" i="6" s="1"/>
  <c r="R13" i="6" s="1"/>
  <c r="R14" i="6" s="1"/>
  <c r="R15" i="6" s="1"/>
  <c r="R16" i="6" s="1"/>
  <c r="R17" i="6" s="1"/>
  <c r="R18" i="6" s="1"/>
  <c r="R19" i="6" s="1"/>
  <c r="R20" i="6" s="1"/>
  <c r="R21" i="6" s="1"/>
  <c r="R22" i="6" s="1"/>
  <c r="R23" i="6" s="1"/>
  <c r="R24" i="6" s="1"/>
  <c r="R25" i="6" s="1"/>
  <c r="R26" i="6" s="1"/>
  <c r="R27" i="6" s="1"/>
  <c r="R28" i="6" s="1"/>
  <c r="R29" i="6" s="1"/>
  <c r="R30" i="6" s="1"/>
  <c r="R31" i="6" s="1"/>
  <c r="R32" i="6" s="1"/>
  <c r="R33" i="6" s="1"/>
  <c r="R34" i="6" s="1"/>
  <c r="R35" i="6" s="1"/>
  <c r="R36" i="6" s="1"/>
  <c r="R37" i="6" s="1"/>
  <c r="R38" i="6" s="1"/>
  <c r="R39" i="6" s="1"/>
  <c r="R40" i="6" s="1"/>
  <c r="R41" i="6" s="1"/>
  <c r="R42" i="6" s="1"/>
  <c r="R43" i="6" s="1"/>
  <c r="R44" i="6" s="1"/>
  <c r="R45" i="6" s="1"/>
  <c r="R46" i="6" s="1"/>
  <c r="R47" i="6" s="1"/>
  <c r="R48" i="6" s="1"/>
  <c r="R49" i="6" s="1"/>
  <c r="R50" i="6" s="1"/>
  <c r="R51" i="6" s="1"/>
  <c r="R52" i="6" s="1"/>
  <c r="R53" i="6" s="1"/>
  <c r="R54" i="6" s="1"/>
  <c r="R55" i="6" s="1"/>
  <c r="R56" i="6" s="1"/>
  <c r="R57" i="6" s="1"/>
  <c r="R58" i="6" s="1"/>
  <c r="R59" i="6" s="1"/>
  <c r="R60" i="6" s="1"/>
  <c r="R61" i="6" s="1"/>
  <c r="R62" i="6" s="1"/>
  <c r="R63" i="6" s="1"/>
  <c r="R64" i="6" s="1"/>
  <c r="R65" i="6" s="1"/>
  <c r="R66" i="6" s="1"/>
  <c r="R67" i="6" s="1"/>
  <c r="R68" i="6" s="1"/>
  <c r="R69" i="6" s="1"/>
  <c r="R70" i="6" s="1"/>
  <c r="R71" i="6" s="1"/>
  <c r="R72" i="6" s="1"/>
  <c r="R73" i="6" s="1"/>
  <c r="R74" i="6" s="1"/>
  <c r="R75" i="6" s="1"/>
  <c r="R76" i="6" s="1"/>
  <c r="R77" i="6" s="1"/>
  <c r="R78" i="6" s="1"/>
  <c r="R79" i="6" s="1"/>
  <c r="R80" i="6" s="1"/>
  <c r="R81" i="6" s="1"/>
  <c r="R82" i="6" s="1"/>
  <c r="R83" i="6" s="1"/>
  <c r="R84" i="6" s="1"/>
  <c r="R85" i="6" s="1"/>
  <c r="R86" i="6" s="1"/>
  <c r="R87" i="6" s="1"/>
  <c r="R88" i="6" s="1"/>
  <c r="R89" i="6" s="1"/>
  <c r="R90" i="6" s="1"/>
  <c r="R91" i="6" s="1"/>
  <c r="R92" i="6" s="1"/>
  <c r="R93" i="6" s="1"/>
  <c r="R94" i="6" s="1"/>
  <c r="R95" i="6" s="1"/>
  <c r="R96" i="6" s="1"/>
  <c r="R97" i="6" s="1"/>
  <c r="N12" i="6"/>
  <c r="H99" i="6"/>
  <c r="H100" i="6"/>
  <c r="I100" i="6" s="1"/>
  <c r="H101" i="6"/>
  <c r="H102" i="6"/>
  <c r="G2" i="9"/>
  <c r="I3" i="9"/>
  <c r="A9" i="9"/>
  <c r="E88" i="9"/>
  <c r="D88" i="9" s="1"/>
  <c r="E89" i="9"/>
  <c r="F89" i="9" s="1"/>
  <c r="E90" i="9"/>
  <c r="E91" i="9"/>
  <c r="D91" i="9" s="1"/>
  <c r="N4" i="10"/>
  <c r="T4" i="10"/>
  <c r="B5" i="10"/>
  <c r="F5" i="10"/>
  <c r="N5" i="10"/>
  <c r="T5" i="10"/>
  <c r="B6" i="10"/>
  <c r="F6" i="10"/>
  <c r="N6" i="10"/>
  <c r="T6" i="10"/>
  <c r="B7" i="10"/>
  <c r="F7" i="10"/>
  <c r="N7" i="10"/>
  <c r="T7" i="10"/>
  <c r="B8" i="10"/>
  <c r="F8" i="10"/>
  <c r="N8" i="10"/>
  <c r="T8" i="10"/>
  <c r="B9" i="10"/>
  <c r="F9" i="10"/>
  <c r="N9" i="10"/>
  <c r="T9" i="10"/>
  <c r="B10" i="10"/>
  <c r="F10" i="10"/>
  <c r="N10" i="10"/>
  <c r="T10" i="10"/>
  <c r="B11" i="10"/>
  <c r="F11" i="10"/>
  <c r="N11" i="10"/>
  <c r="T11" i="10"/>
  <c r="B12" i="10"/>
  <c r="F12" i="10"/>
  <c r="N12" i="10"/>
  <c r="T12" i="10"/>
  <c r="B13" i="10"/>
  <c r="F13" i="10"/>
  <c r="N13" i="10"/>
  <c r="T13" i="10"/>
  <c r="B14" i="10"/>
  <c r="F14" i="10"/>
  <c r="N14" i="10"/>
  <c r="T14" i="10"/>
  <c r="B15" i="10"/>
  <c r="F15" i="10"/>
  <c r="N15" i="10"/>
  <c r="T15" i="10"/>
  <c r="B16" i="10"/>
  <c r="F16" i="10"/>
  <c r="N16" i="10"/>
  <c r="T16" i="10"/>
  <c r="B17" i="10"/>
  <c r="F17" i="10"/>
  <c r="N17" i="10"/>
  <c r="T17" i="10"/>
  <c r="B18" i="10"/>
  <c r="F18" i="10"/>
  <c r="N18" i="10"/>
  <c r="T18" i="10"/>
  <c r="B19" i="10"/>
  <c r="F19" i="10"/>
  <c r="N19" i="10"/>
  <c r="T19" i="10"/>
  <c r="B20" i="10"/>
  <c r="F20" i="10"/>
  <c r="N20" i="10"/>
  <c r="T20" i="10"/>
  <c r="B21" i="10"/>
  <c r="F21" i="10"/>
  <c r="N21" i="10"/>
  <c r="T21" i="10"/>
  <c r="B22" i="10"/>
  <c r="F22" i="10"/>
  <c r="N22" i="10"/>
  <c r="T22" i="10"/>
  <c r="B23" i="10"/>
  <c r="F23" i="10"/>
  <c r="N23" i="10"/>
  <c r="T23" i="10"/>
  <c r="B24" i="10"/>
  <c r="F24" i="10"/>
  <c r="N24" i="10"/>
  <c r="T24" i="10"/>
  <c r="B25" i="10"/>
  <c r="F25" i="10"/>
  <c r="N25" i="10"/>
  <c r="T25" i="10"/>
  <c r="B26" i="10"/>
  <c r="F26" i="10"/>
  <c r="N26" i="10"/>
  <c r="T26" i="10"/>
  <c r="B27" i="10"/>
  <c r="F27" i="10"/>
  <c r="N27" i="10"/>
  <c r="T27" i="10"/>
  <c r="B28" i="10"/>
  <c r="F28" i="10"/>
  <c r="N28" i="10"/>
  <c r="T28" i="10"/>
  <c r="B29" i="10"/>
  <c r="F29" i="10"/>
  <c r="N29" i="10"/>
  <c r="T29" i="10"/>
  <c r="B30" i="10"/>
  <c r="F30" i="10"/>
  <c r="N30" i="10"/>
  <c r="T30" i="10"/>
  <c r="B31" i="10"/>
  <c r="F31" i="10"/>
  <c r="N31" i="10"/>
  <c r="T31" i="10"/>
  <c r="B32" i="10"/>
  <c r="F32" i="10"/>
  <c r="N32" i="10"/>
  <c r="T32" i="10"/>
  <c r="B33" i="10"/>
  <c r="F33" i="10"/>
  <c r="N33" i="10"/>
  <c r="T33" i="10"/>
  <c r="B34" i="10"/>
  <c r="F34" i="10"/>
  <c r="N34" i="10"/>
  <c r="T34" i="10"/>
  <c r="B35" i="10"/>
  <c r="F35" i="10"/>
  <c r="N35" i="10"/>
  <c r="T35" i="10"/>
  <c r="B36" i="10"/>
  <c r="F36" i="10"/>
  <c r="N36" i="10"/>
  <c r="T36" i="10"/>
  <c r="B37" i="10"/>
  <c r="F37" i="10"/>
  <c r="N37" i="10"/>
  <c r="T37" i="10"/>
  <c r="B38" i="10"/>
  <c r="F38" i="10"/>
  <c r="N38" i="10"/>
  <c r="T38" i="10"/>
  <c r="B39" i="10"/>
  <c r="F39" i="10"/>
  <c r="N39" i="10"/>
  <c r="T39" i="10"/>
  <c r="B40" i="10"/>
  <c r="F40" i="10"/>
  <c r="N40" i="10"/>
  <c r="T40" i="10"/>
  <c r="B41" i="10"/>
  <c r="F41" i="10"/>
  <c r="N41" i="10"/>
  <c r="T41" i="10"/>
  <c r="B42" i="10"/>
  <c r="F42" i="10"/>
  <c r="N42" i="10"/>
  <c r="T42" i="10"/>
  <c r="B43" i="10"/>
  <c r="F43" i="10"/>
  <c r="N43" i="10"/>
  <c r="T43" i="10"/>
  <c r="B44" i="10"/>
  <c r="F44" i="10"/>
  <c r="N44" i="10"/>
  <c r="T44" i="10"/>
  <c r="B45" i="10"/>
  <c r="F45" i="10"/>
  <c r="N45" i="10"/>
  <c r="T45" i="10"/>
  <c r="B46" i="10"/>
  <c r="F46" i="10"/>
  <c r="N46" i="10"/>
  <c r="T46" i="10"/>
  <c r="B47" i="10"/>
  <c r="F47" i="10"/>
  <c r="N47" i="10"/>
  <c r="T47" i="10"/>
  <c r="B48" i="10"/>
  <c r="F48" i="10"/>
  <c r="N48" i="10"/>
  <c r="T48" i="10"/>
  <c r="B49" i="10"/>
  <c r="F49" i="10"/>
  <c r="N49" i="10"/>
  <c r="T49" i="10"/>
  <c r="B50" i="10"/>
  <c r="F50" i="10"/>
  <c r="N50" i="10"/>
  <c r="T50" i="10"/>
  <c r="B51" i="10"/>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F51" i="10"/>
  <c r="N51" i="10"/>
  <c r="T51" i="10"/>
  <c r="P4" i="9" s="1"/>
  <c r="F52" i="10"/>
  <c r="N52" i="10"/>
  <c r="T52" i="10"/>
  <c r="F53" i="10"/>
  <c r="N53" i="10"/>
  <c r="T53" i="10"/>
  <c r="T54" i="10" s="1"/>
  <c r="T55" i="10" s="1"/>
  <c r="T56" i="10" s="1"/>
  <c r="T57" i="10" s="1"/>
  <c r="T58" i="10" s="1"/>
  <c r="T59" i="10" s="1"/>
  <c r="T60" i="10" s="1"/>
  <c r="T61" i="10" s="1"/>
  <c r="T62" i="10" s="1"/>
  <c r="T63" i="10" s="1"/>
  <c r="T64" i="10" s="1"/>
  <c r="T65" i="10" s="1"/>
  <c r="T66" i="10" s="1"/>
  <c r="T67" i="10" s="1"/>
  <c r="T68" i="10" s="1"/>
  <c r="T69" i="10" s="1"/>
  <c r="T70" i="10" s="1"/>
  <c r="T71" i="10" s="1"/>
  <c r="T72" i="10" s="1"/>
  <c r="T73" i="10" s="1"/>
  <c r="T74" i="10" s="1"/>
  <c r="T75" i="10" s="1"/>
  <c r="T76" i="10" s="1"/>
  <c r="T77" i="10" s="1"/>
  <c r="T78" i="10" s="1"/>
  <c r="T79" i="10" s="1"/>
  <c r="T80" i="10" s="1"/>
  <c r="T81" i="10" s="1"/>
  <c r="T82" i="10" s="1"/>
  <c r="T83" i="10" s="1"/>
  <c r="T84" i="10" s="1"/>
  <c r="T85" i="10" s="1"/>
  <c r="T86" i="10" s="1"/>
  <c r="T87" i="10" s="1"/>
  <c r="T88" i="10" s="1"/>
  <c r="T89" i="10" s="1"/>
  <c r="T90" i="10" s="1"/>
  <c r="T91" i="10" s="1"/>
  <c r="T92" i="10" s="1"/>
  <c r="T93" i="10" s="1"/>
  <c r="T94" i="10" s="1"/>
  <c r="T95" i="10" s="1"/>
  <c r="T96" i="10" s="1"/>
  <c r="F54" i="10"/>
  <c r="N54" i="10"/>
  <c r="F55" i="10"/>
  <c r="N55" i="10"/>
  <c r="F56" i="10"/>
  <c r="N56" i="10"/>
  <c r="F57" i="10"/>
  <c r="N57" i="10"/>
  <c r="F58" i="10"/>
  <c r="N58" i="10"/>
  <c r="F59" i="10"/>
  <c r="N59" i="10"/>
  <c r="F60" i="10"/>
  <c r="N60" i="10"/>
  <c r="F61" i="10"/>
  <c r="N61" i="10"/>
  <c r="F62" i="10"/>
  <c r="N62" i="10"/>
  <c r="F63" i="10"/>
  <c r="N63" i="10"/>
  <c r="F64" i="10"/>
  <c r="N64" i="10"/>
  <c r="F65" i="10"/>
  <c r="N65" i="10"/>
  <c r="F66" i="10"/>
  <c r="N66" i="10"/>
  <c r="F67" i="10"/>
  <c r="N67" i="10"/>
  <c r="F68" i="10"/>
  <c r="N68" i="10"/>
  <c r="F69" i="10"/>
  <c r="N69" i="10"/>
  <c r="F70" i="10"/>
  <c r="N70" i="10"/>
  <c r="F71" i="10"/>
  <c r="N71" i="10"/>
  <c r="F72" i="10"/>
  <c r="N72" i="10"/>
  <c r="F73" i="10"/>
  <c r="N73" i="10"/>
  <c r="F74" i="10"/>
  <c r="N74" i="10"/>
  <c r="F75" i="10"/>
  <c r="N75" i="10"/>
  <c r="F76" i="10"/>
  <c r="N76" i="10"/>
  <c r="F77" i="10"/>
  <c r="N77" i="10"/>
  <c r="F78" i="10"/>
  <c r="N78" i="10"/>
  <c r="F79" i="10"/>
  <c r="N79" i="10"/>
  <c r="F80" i="10"/>
  <c r="N80" i="10"/>
  <c r="F81" i="10"/>
  <c r="N81" i="10"/>
  <c r="F82" i="10"/>
  <c r="N82" i="10"/>
  <c r="F83" i="10"/>
  <c r="N83" i="10"/>
  <c r="F84" i="10"/>
  <c r="N84" i="10"/>
  <c r="F85" i="10"/>
  <c r="N85" i="10"/>
  <c r="F86" i="10"/>
  <c r="N86" i="10"/>
  <c r="F87" i="10"/>
  <c r="N87" i="10"/>
  <c r="F88" i="10"/>
  <c r="N88" i="10"/>
  <c r="F89" i="10"/>
  <c r="N89" i="10"/>
  <c r="F90" i="10"/>
  <c r="N90" i="10"/>
  <c r="F91" i="10"/>
  <c r="N91" i="10"/>
  <c r="F92" i="10"/>
  <c r="N92" i="10"/>
  <c r="F93" i="10"/>
  <c r="N93" i="10"/>
  <c r="F94" i="10"/>
  <c r="N94" i="10"/>
  <c r="F95" i="10"/>
  <c r="N95" i="10"/>
  <c r="N96" i="10"/>
  <c r="A10" i="9"/>
  <c r="A11" i="9" s="1"/>
  <c r="C60" i="3"/>
  <c r="T60" i="3" s="1"/>
  <c r="G3" i="6"/>
  <c r="E3" i="6"/>
  <c r="B24" i="3"/>
  <c r="S24" i="3" s="1"/>
  <c r="I26" i="1"/>
  <c r="Q26" i="1"/>
  <c r="C24" i="3"/>
  <c r="T24" i="3" s="1"/>
  <c r="Q61" i="1"/>
  <c r="B110" i="3"/>
  <c r="S110" i="3" s="1"/>
  <c r="C110" i="3"/>
  <c r="T110" i="3" s="1"/>
  <c r="B58" i="3"/>
  <c r="S58" i="3" s="1"/>
  <c r="I60" i="1"/>
  <c r="Q60" i="1"/>
  <c r="D89" i="3"/>
  <c r="D80" i="3"/>
  <c r="V318" i="4"/>
  <c r="AB9" i="4"/>
  <c r="AB10" i="4" s="1"/>
  <c r="AB11" i="4" s="1"/>
  <c r="AB12" i="4" s="1"/>
  <c r="AB13" i="4" s="1"/>
  <c r="C61" i="3"/>
  <c r="T61" i="3"/>
  <c r="B25" i="3"/>
  <c r="D25" i="3" s="1"/>
  <c r="C25" i="3"/>
  <c r="T25" i="3" s="1"/>
  <c r="Q27" i="1"/>
  <c r="I113" i="1"/>
  <c r="Q113" i="1"/>
  <c r="B111" i="3"/>
  <c r="C111" i="3"/>
  <c r="T111" i="3" s="1"/>
  <c r="I112" i="1"/>
  <c r="B26" i="3"/>
  <c r="D26" i="3"/>
  <c r="I28" i="1"/>
  <c r="C26" i="3"/>
  <c r="T26" i="3" s="1"/>
  <c r="Q28" i="1"/>
  <c r="B112" i="3"/>
  <c r="Q114" i="1"/>
  <c r="C112" i="3"/>
  <c r="T112" i="3" s="1"/>
  <c r="I27" i="1"/>
  <c r="C62" i="3"/>
  <c r="T62" i="3" s="1"/>
  <c r="C63" i="3"/>
  <c r="T63" i="3" s="1"/>
  <c r="B113" i="3"/>
  <c r="S113" i="3"/>
  <c r="C113" i="3"/>
  <c r="T113" i="3" s="1"/>
  <c r="I115" i="1"/>
  <c r="Q115" i="1"/>
  <c r="B27" i="3"/>
  <c r="S27" i="3" s="1"/>
  <c r="Q29" i="1"/>
  <c r="C27" i="3"/>
  <c r="T27" i="3"/>
  <c r="I114" i="1"/>
  <c r="C64" i="3"/>
  <c r="T64" i="3" s="1"/>
  <c r="B114" i="3"/>
  <c r="S114" i="3" s="1"/>
  <c r="C114" i="3"/>
  <c r="T114" i="3" s="1"/>
  <c r="I116" i="1"/>
  <c r="Q116" i="1"/>
  <c r="B28" i="3"/>
  <c r="D28" i="3" s="1"/>
  <c r="I30" i="1"/>
  <c r="Q30" i="1"/>
  <c r="C28" i="3"/>
  <c r="T28" i="3" s="1"/>
  <c r="I29" i="1"/>
  <c r="C65" i="3"/>
  <c r="T65" i="3"/>
  <c r="B29" i="3"/>
  <c r="D29" i="3"/>
  <c r="C29" i="3"/>
  <c r="T29" i="3" s="1"/>
  <c r="Q31" i="1"/>
  <c r="AB14" i="4"/>
  <c r="AB15" i="4" s="1"/>
  <c r="AB16" i="4" s="1"/>
  <c r="B115" i="3"/>
  <c r="Q117" i="1"/>
  <c r="C115" i="3"/>
  <c r="T115" i="3"/>
  <c r="B30" i="3"/>
  <c r="D30" i="3" s="1"/>
  <c r="C30" i="3"/>
  <c r="T30" i="3"/>
  <c r="Q32" i="1"/>
  <c r="B116" i="3"/>
  <c r="S116" i="3" s="1"/>
  <c r="Q118" i="1"/>
  <c r="C116" i="3"/>
  <c r="T116" i="3" s="1"/>
  <c r="I118" i="1"/>
  <c r="B66" i="3"/>
  <c r="S66" i="3"/>
  <c r="Q68" i="1"/>
  <c r="C66" i="3"/>
  <c r="T66" i="3" s="1"/>
  <c r="I31" i="1"/>
  <c r="I117" i="1"/>
  <c r="B117" i="3"/>
  <c r="S117" i="3" s="1"/>
  <c r="C117" i="3"/>
  <c r="T117" i="3"/>
  <c r="Q119" i="1"/>
  <c r="B31" i="3"/>
  <c r="D31" i="3" s="1"/>
  <c r="I33" i="1"/>
  <c r="Q33" i="1"/>
  <c r="C31" i="3"/>
  <c r="T31" i="3" s="1"/>
  <c r="B67" i="3"/>
  <c r="S67" i="3" s="1"/>
  <c r="Q69" i="1"/>
  <c r="C67" i="3"/>
  <c r="T67" i="3" s="1"/>
  <c r="I32" i="1"/>
  <c r="B32" i="3"/>
  <c r="D32" i="3" s="1"/>
  <c r="Q34" i="1"/>
  <c r="C32" i="3"/>
  <c r="T32" i="3" s="1"/>
  <c r="AB17" i="4"/>
  <c r="AB18" i="4" s="1"/>
  <c r="AB19" i="4" s="1"/>
  <c r="AB20" i="4" s="1"/>
  <c r="AB21" i="4" s="1"/>
  <c r="AB22" i="4" s="1"/>
  <c r="AB23" i="4" s="1"/>
  <c r="AB24" i="4" s="1"/>
  <c r="AB25" i="4" s="1"/>
  <c r="AB26" i="4" s="1"/>
  <c r="AB27" i="4" s="1"/>
  <c r="AB28" i="4" s="1"/>
  <c r="AB29" i="4" s="1"/>
  <c r="AB30" i="4" s="1"/>
  <c r="AB31" i="4" s="1"/>
  <c r="AB32" i="4" s="1"/>
  <c r="AB33" i="4" s="1"/>
  <c r="AB34" i="4" s="1"/>
  <c r="AB35" i="4" s="1"/>
  <c r="AB36" i="4" s="1"/>
  <c r="AB37" i="4" s="1"/>
  <c r="AB38" i="4" s="1"/>
  <c r="AB39" i="4" s="1"/>
  <c r="AB40" i="4" s="1"/>
  <c r="AB41" i="4" s="1"/>
  <c r="AB42" i="4" s="1"/>
  <c r="AB43" i="4" s="1"/>
  <c r="AB44" i="4" s="1"/>
  <c r="AB45" i="4" s="1"/>
  <c r="AB46" i="4" s="1"/>
  <c r="AB47" i="4" s="1"/>
  <c r="AB48" i="4" s="1"/>
  <c r="AB49" i="4" s="1"/>
  <c r="AB50" i="4" s="1"/>
  <c r="AB51" i="4" s="1"/>
  <c r="AB52" i="4" s="1"/>
  <c r="AB53" i="4" s="1"/>
  <c r="AB54" i="4" s="1"/>
  <c r="AB55" i="4" s="1"/>
  <c r="AB56" i="4" s="1"/>
  <c r="AB57" i="4" s="1"/>
  <c r="AB58" i="4" s="1"/>
  <c r="AB59" i="4" s="1"/>
  <c r="AB60" i="4" s="1"/>
  <c r="AB61" i="4" s="1"/>
  <c r="AB62" i="4" s="1"/>
  <c r="AB63" i="4" s="1"/>
  <c r="AB64" i="4" s="1"/>
  <c r="AB65" i="4" s="1"/>
  <c r="AB66" i="4" s="1"/>
  <c r="AB67" i="4" s="1"/>
  <c r="AB68" i="4" s="1"/>
  <c r="AB69" i="4" s="1"/>
  <c r="AB70" i="4" s="1"/>
  <c r="AB71" i="4" s="1"/>
  <c r="AB72" i="4" s="1"/>
  <c r="AB73" i="4" s="1"/>
  <c r="AB74" i="4" s="1"/>
  <c r="AB75" i="4" s="1"/>
  <c r="AB76" i="4" s="1"/>
  <c r="AB77" i="4" s="1"/>
  <c r="AB78" i="4" s="1"/>
  <c r="AB79" i="4" s="1"/>
  <c r="AB80" i="4" s="1"/>
  <c r="AB81" i="4" s="1"/>
  <c r="AB82" i="4" s="1"/>
  <c r="AB83" i="4" s="1"/>
  <c r="AB84" i="4" s="1"/>
  <c r="AB85" i="4" s="1"/>
  <c r="AB86" i="4" s="1"/>
  <c r="AB87" i="4" s="1"/>
  <c r="AB88" i="4" s="1"/>
  <c r="AB89" i="4" s="1"/>
  <c r="AB90" i="4" s="1"/>
  <c r="I69" i="1"/>
  <c r="I119" i="1"/>
  <c r="B68" i="3"/>
  <c r="S68" i="3"/>
  <c r="I70" i="1"/>
  <c r="C68" i="3"/>
  <c r="T68" i="3" s="1"/>
  <c r="Q70" i="1"/>
  <c r="B118" i="3"/>
  <c r="C118" i="3"/>
  <c r="T118" i="3" s="1"/>
  <c r="I120" i="1"/>
  <c r="Q120" i="1"/>
  <c r="B119" i="3"/>
  <c r="S119" i="3" s="1"/>
  <c r="Q121" i="1"/>
  <c r="C119" i="3"/>
  <c r="T119" i="3" s="1"/>
  <c r="B69" i="3"/>
  <c r="D69" i="3"/>
  <c r="C69" i="3"/>
  <c r="T69" i="3" s="1"/>
  <c r="Q71" i="1"/>
  <c r="V19" i="3"/>
  <c r="V20" i="3" s="1"/>
  <c r="V21" i="3" s="1"/>
  <c r="V22" i="3" s="1"/>
  <c r="V23" i="3" s="1"/>
  <c r="V24" i="3" s="1"/>
  <c r="V25" i="3" s="1"/>
  <c r="V26" i="3" s="1"/>
  <c r="V27" i="3" s="1"/>
  <c r="V28" i="3" s="1"/>
  <c r="V29" i="3" s="1"/>
  <c r="V30" i="3" s="1"/>
  <c r="V31" i="3" s="1"/>
  <c r="V32" i="3" s="1"/>
  <c r="V33" i="3" s="1"/>
  <c r="V34" i="3" s="1"/>
  <c r="V35" i="3" s="1"/>
  <c r="V36" i="3" s="1"/>
  <c r="V37" i="3" s="1"/>
  <c r="V38" i="3" s="1"/>
  <c r="V39" i="3" s="1"/>
  <c r="V40" i="3" s="1"/>
  <c r="V41" i="3" s="1"/>
  <c r="V42" i="3" s="1"/>
  <c r="V43" i="3" s="1"/>
  <c r="V44" i="3" s="1"/>
  <c r="V45" i="3" s="1"/>
  <c r="V46" i="3" s="1"/>
  <c r="V47" i="3" s="1"/>
  <c r="V48" i="3" s="1"/>
  <c r="V49" i="3" s="1"/>
  <c r="V50" i="3" s="1"/>
  <c r="V51" i="3" s="1"/>
  <c r="V52" i="3" s="1"/>
  <c r="V53" i="3" s="1"/>
  <c r="V54" i="3" s="1"/>
  <c r="V55" i="3" s="1"/>
  <c r="V56" i="3" s="1"/>
  <c r="V57" i="3" s="1"/>
  <c r="V58" i="3" s="1"/>
  <c r="V59" i="3" s="1"/>
  <c r="V60" i="3" s="1"/>
  <c r="V61" i="3" s="1"/>
  <c r="V62" i="3" s="1"/>
  <c r="V63" i="3" s="1"/>
  <c r="V64" i="3" s="1"/>
  <c r="V65" i="3" s="1"/>
  <c r="V66" i="3" s="1"/>
  <c r="V67" i="3" s="1"/>
  <c r="V68" i="3" s="1"/>
  <c r="V69" i="3" s="1"/>
  <c r="V70" i="3" s="1"/>
  <c r="V71" i="3" s="1"/>
  <c r="V72" i="3" s="1"/>
  <c r="V73" i="3" s="1"/>
  <c r="V74" i="3" s="1"/>
  <c r="V75" i="3" s="1"/>
  <c r="V76" i="3" s="1"/>
  <c r="V77" i="3" s="1"/>
  <c r="V78" i="3" s="1"/>
  <c r="V79" i="3" s="1"/>
  <c r="V80" i="3" s="1"/>
  <c r="V81" i="3" s="1"/>
  <c r="V82" i="3" s="1"/>
  <c r="V83" i="3" s="1"/>
  <c r="V84" i="3" s="1"/>
  <c r="V85" i="3" s="1"/>
  <c r="V86" i="3" s="1"/>
  <c r="V87" i="3" s="1"/>
  <c r="V88" i="3" s="1"/>
  <c r="V89" i="3" s="1"/>
  <c r="V90" i="3" s="1"/>
  <c r="V91" i="3" s="1"/>
  <c r="V92" i="3" s="1"/>
  <c r="V93" i="3" s="1"/>
  <c r="V94" i="3" s="1"/>
  <c r="V95" i="3" s="1"/>
  <c r="V96" i="3" s="1"/>
  <c r="V97" i="3" s="1"/>
  <c r="V98" i="3" s="1"/>
  <c r="V99" i="3" s="1"/>
  <c r="V100" i="3" s="1"/>
  <c r="V101" i="3" s="1"/>
  <c r="V102" i="3" s="1"/>
  <c r="V103" i="3" s="1"/>
  <c r="V104" i="3" s="1"/>
  <c r="V105" i="3" s="1"/>
  <c r="V106" i="3" s="1"/>
  <c r="V107" i="3" s="1"/>
  <c r="V108" i="3" s="1"/>
  <c r="V109" i="3" s="1"/>
  <c r="V110" i="3" s="1"/>
  <c r="V111" i="3" s="1"/>
  <c r="V112" i="3" s="1"/>
  <c r="V113" i="3" s="1"/>
  <c r="V114" i="3" s="1"/>
  <c r="V115" i="3" s="1"/>
  <c r="V116" i="3" s="1"/>
  <c r="V117" i="3" s="1"/>
  <c r="V118" i="3" s="1"/>
  <c r="V119" i="3" s="1"/>
  <c r="V120" i="3" s="1"/>
  <c r="V121" i="3" s="1"/>
  <c r="V122" i="3" s="1"/>
  <c r="V123" i="3" s="1"/>
  <c r="V124" i="3" s="1"/>
  <c r="V125" i="3" s="1"/>
  <c r="V126" i="3" s="1"/>
  <c r="V127" i="3" s="1"/>
  <c r="V128" i="3" s="1"/>
  <c r="V129" i="3" s="1"/>
  <c r="V130" i="3" s="1"/>
  <c r="V131" i="3" s="1"/>
  <c r="V132" i="3" s="1"/>
  <c r="V133" i="3" s="1"/>
  <c r="V134" i="3" s="1"/>
  <c r="V135" i="3" s="1"/>
  <c r="V136" i="3" s="1"/>
  <c r="V137" i="3" s="1"/>
  <c r="V138" i="3" s="1"/>
  <c r="V139" i="3" s="1"/>
  <c r="V140" i="3" s="1"/>
  <c r="V141" i="3" s="1"/>
  <c r="V142" i="3" s="1"/>
  <c r="V143" i="3" s="1"/>
  <c r="V144" i="3" s="1"/>
  <c r="V145" i="3" s="1"/>
  <c r="V146" i="3" s="1"/>
  <c r="V147" i="3" s="1"/>
  <c r="V148" i="3" s="1"/>
  <c r="V149" i="3" s="1"/>
  <c r="V150" i="3" s="1"/>
  <c r="V151" i="3" s="1"/>
  <c r="V152" i="3" s="1"/>
  <c r="V153" i="3" s="1"/>
  <c r="V154" i="3" s="1"/>
  <c r="V155" i="3" s="1"/>
  <c r="V156" i="3" s="1"/>
  <c r="V157" i="3" s="1"/>
  <c r="V158" i="3" s="1"/>
  <c r="V159" i="3" s="1"/>
  <c r="V160" i="3" s="1"/>
  <c r="V161" i="3" s="1"/>
  <c r="V162" i="3" s="1"/>
  <c r="V163" i="3" s="1"/>
  <c r="V164" i="3" s="1"/>
  <c r="V165" i="3" s="1"/>
  <c r="V166" i="3" s="1"/>
  <c r="V167" i="3" s="1"/>
  <c r="V168" i="3" s="1"/>
  <c r="V169" i="3" s="1"/>
  <c r="V170" i="3" s="1"/>
  <c r="V171" i="3" s="1"/>
  <c r="V172" i="3" s="1"/>
  <c r="V173" i="3" s="1"/>
  <c r="V174" i="3" s="1"/>
  <c r="V175" i="3" s="1"/>
  <c r="V176" i="3" s="1"/>
  <c r="V177" i="3" s="1"/>
  <c r="V178" i="3" s="1"/>
  <c r="V179" i="3" s="1"/>
  <c r="V180" i="3" s="1"/>
  <c r="V181" i="3" s="1"/>
  <c r="V182" i="3" s="1"/>
  <c r="V183" i="3" s="1"/>
  <c r="V184" i="3" s="1"/>
  <c r="V185" i="3" s="1"/>
  <c r="V186" i="3" s="1"/>
  <c r="V187" i="3" s="1"/>
  <c r="V188" i="3" s="1"/>
  <c r="V189" i="3" s="1"/>
  <c r="V190" i="3" s="1"/>
  <c r="V191" i="3" s="1"/>
  <c r="V192" i="3" s="1"/>
  <c r="V193" i="3" s="1"/>
  <c r="V194" i="3" s="1"/>
  <c r="V195" i="3" s="1"/>
  <c r="V196" i="3" s="1"/>
  <c r="V197" i="3" s="1"/>
  <c r="V198" i="3" s="1"/>
  <c r="V199" i="3" s="1"/>
  <c r="V200" i="3" s="1"/>
  <c r="V201" i="3" s="1"/>
  <c r="V202" i="3" s="1"/>
  <c r="V203" i="3" s="1"/>
  <c r="V204" i="3" s="1"/>
  <c r="V205" i="3" s="1"/>
  <c r="V206" i="3" s="1"/>
  <c r="V207" i="3" s="1"/>
  <c r="V208" i="3" s="1"/>
  <c r="V209" i="3" s="1"/>
  <c r="V210" i="3" s="1"/>
  <c r="V211" i="3" s="1"/>
  <c r="V212" i="3" s="1"/>
  <c r="V213" i="3" s="1"/>
  <c r="V214" i="3" s="1"/>
  <c r="V215" i="3" s="1"/>
  <c r="V216" i="3" s="1"/>
  <c r="V217" i="3" s="1"/>
  <c r="V218" i="3" s="1"/>
  <c r="V219" i="3" s="1"/>
  <c r="V220" i="3" s="1"/>
  <c r="V221" i="3" s="1"/>
  <c r="V222" i="3" s="1"/>
  <c r="V223" i="3" s="1"/>
  <c r="V224" i="3" s="1"/>
  <c r="V225" i="3" s="1"/>
  <c r="V226" i="3" s="1"/>
  <c r="V227" i="3" s="1"/>
  <c r="V228" i="3" s="1"/>
  <c r="V229" i="3" s="1"/>
  <c r="V230" i="3" s="1"/>
  <c r="V231" i="3" s="1"/>
  <c r="V232" i="3" s="1"/>
  <c r="V233" i="3" s="1"/>
  <c r="V234" i="3" s="1"/>
  <c r="V235" i="3" s="1"/>
  <c r="V236" i="3" s="1"/>
  <c r="V237" i="3" s="1"/>
  <c r="V238" i="3" s="1"/>
  <c r="V239" i="3" s="1"/>
  <c r="V240" i="3" s="1"/>
  <c r="V241" i="3" s="1"/>
  <c r="V242" i="3" s="1"/>
  <c r="V243" i="3" s="1"/>
  <c r="V244" i="3" s="1"/>
  <c r="V245" i="3" s="1"/>
  <c r="V246" i="3" s="1"/>
  <c r="V247" i="3" s="1"/>
  <c r="V248" i="3" s="1"/>
  <c r="V249" i="3" s="1"/>
  <c r="V250" i="3" s="1"/>
  <c r="V251" i="3" s="1"/>
  <c r="V252" i="3" s="1"/>
  <c r="V253" i="3" s="1"/>
  <c r="V254" i="3" s="1"/>
  <c r="V255" i="3" s="1"/>
  <c r="V256" i="3" s="1"/>
  <c r="V257" i="3" s="1"/>
  <c r="V258" i="3" s="1"/>
  <c r="V259" i="3" s="1"/>
  <c r="V260" i="3" s="1"/>
  <c r="V261" i="3" s="1"/>
  <c r="V262" i="3" s="1"/>
  <c r="V263" i="3" s="1"/>
  <c r="V264" i="3" s="1"/>
  <c r="V265" i="3" s="1"/>
  <c r="V266" i="3" s="1"/>
  <c r="V267" i="3" s="1"/>
  <c r="V268" i="3" s="1"/>
  <c r="V269" i="3" s="1"/>
  <c r="V270" i="3" s="1"/>
  <c r="V271" i="3" s="1"/>
  <c r="V272" i="3" s="1"/>
  <c r="V273" i="3" s="1"/>
  <c r="V274" i="3" s="1"/>
  <c r="V275" i="3" s="1"/>
  <c r="B33" i="3"/>
  <c r="S33" i="3" s="1"/>
  <c r="C33" i="3"/>
  <c r="T33" i="3"/>
  <c r="Q35" i="1"/>
  <c r="I34" i="1"/>
  <c r="B34" i="3"/>
  <c r="D34" i="3"/>
  <c r="C34" i="3"/>
  <c r="T34" i="3" s="1"/>
  <c r="Q36" i="1"/>
  <c r="I35" i="1"/>
  <c r="B70" i="3"/>
  <c r="S70" i="3" s="1"/>
  <c r="Q72" i="1"/>
  <c r="C70" i="3"/>
  <c r="T70" i="3" s="1"/>
  <c r="I121" i="1"/>
  <c r="I71" i="1"/>
  <c r="B120" i="3"/>
  <c r="Q122" i="1"/>
  <c r="C120" i="3"/>
  <c r="T120" i="3" s="1"/>
  <c r="B121" i="3"/>
  <c r="S121" i="3" s="1"/>
  <c r="C121" i="3"/>
  <c r="T121" i="3" s="1"/>
  <c r="Q123" i="1"/>
  <c r="I122" i="1"/>
  <c r="B71" i="3"/>
  <c r="Q73" i="1"/>
  <c r="C71" i="3"/>
  <c r="T71" i="3" s="1"/>
  <c r="I72" i="1"/>
  <c r="B35" i="3"/>
  <c r="I37" i="1"/>
  <c r="Q37" i="1"/>
  <c r="C35" i="3"/>
  <c r="T35" i="3"/>
  <c r="I36" i="1"/>
  <c r="B72" i="3"/>
  <c r="C72" i="3"/>
  <c r="T72" i="3"/>
  <c r="Q74" i="1"/>
  <c r="I73" i="1"/>
  <c r="I123" i="1"/>
  <c r="B36" i="3"/>
  <c r="Q38" i="1"/>
  <c r="C36" i="3"/>
  <c r="T36" i="3"/>
  <c r="B122" i="3"/>
  <c r="S122" i="3" s="1"/>
  <c r="C122" i="3"/>
  <c r="T122" i="3" s="1"/>
  <c r="I124" i="1"/>
  <c r="Q124" i="1"/>
  <c r="B123" i="3"/>
  <c r="S123" i="3" s="1"/>
  <c r="I125" i="1"/>
  <c r="Q125" i="1"/>
  <c r="C123" i="3"/>
  <c r="T123" i="3" s="1"/>
  <c r="B73" i="3"/>
  <c r="D73" i="3" s="1"/>
  <c r="I75" i="1"/>
  <c r="C73" i="3"/>
  <c r="T73" i="3"/>
  <c r="Q75" i="1"/>
  <c r="B37" i="3"/>
  <c r="C37" i="3"/>
  <c r="T37" i="3" s="1"/>
  <c r="Q39" i="1"/>
  <c r="I38" i="1"/>
  <c r="I74" i="1"/>
  <c r="B124" i="3"/>
  <c r="S124" i="3"/>
  <c r="Q126" i="1"/>
  <c r="I126" i="1"/>
  <c r="C124" i="3"/>
  <c r="T124" i="3"/>
  <c r="B38" i="3"/>
  <c r="D38" i="3" s="1"/>
  <c r="C38" i="3"/>
  <c r="T38" i="3" s="1"/>
  <c r="Q40" i="1"/>
  <c r="I39" i="1"/>
  <c r="I40" i="1"/>
  <c r="B125" i="3"/>
  <c r="D125" i="3"/>
  <c r="E125" i="3"/>
  <c r="F125" i="3" s="1"/>
  <c r="C125" i="3"/>
  <c r="T125" i="3" s="1"/>
  <c r="Q127" i="1"/>
  <c r="B39" i="3"/>
  <c r="D39" i="3"/>
  <c r="I41" i="1"/>
  <c r="Q41" i="1"/>
  <c r="C39" i="3"/>
  <c r="T39" i="3"/>
  <c r="I127" i="1"/>
  <c r="B40" i="3"/>
  <c r="Q42" i="1"/>
  <c r="C40" i="3"/>
  <c r="T40" i="3" s="1"/>
  <c r="S125" i="3"/>
  <c r="B126" i="3"/>
  <c r="C126" i="3"/>
  <c r="T126" i="3"/>
  <c r="I128" i="1"/>
  <c r="Q128" i="1"/>
  <c r="B127" i="3"/>
  <c r="Q129" i="1"/>
  <c r="C127" i="3"/>
  <c r="T127" i="3" s="1"/>
  <c r="B41" i="3"/>
  <c r="C41" i="3"/>
  <c r="T41" i="3" s="1"/>
  <c r="Q43" i="1"/>
  <c r="I42" i="1"/>
  <c r="B42" i="3"/>
  <c r="S42" i="3" s="1"/>
  <c r="C42" i="3"/>
  <c r="T42" i="3"/>
  <c r="Q44" i="1"/>
  <c r="B128" i="3"/>
  <c r="Q130" i="1"/>
  <c r="C128" i="3"/>
  <c r="T128" i="3" s="1"/>
  <c r="I43" i="1"/>
  <c r="I129" i="1"/>
  <c r="I130" i="1"/>
  <c r="I44" i="1"/>
  <c r="B43" i="3"/>
  <c r="D43" i="3"/>
  <c r="I45" i="1"/>
  <c r="Q45" i="1"/>
  <c r="C43" i="3"/>
  <c r="T43" i="3"/>
  <c r="B129" i="3"/>
  <c r="C129" i="3"/>
  <c r="T129" i="3"/>
  <c r="Q131" i="1"/>
  <c r="S128" i="3"/>
  <c r="I131" i="1"/>
  <c r="B44" i="3"/>
  <c r="S44" i="3" s="1"/>
  <c r="I46" i="1"/>
  <c r="Q46" i="1"/>
  <c r="C44" i="3"/>
  <c r="T44" i="3" s="1"/>
  <c r="B130" i="3"/>
  <c r="S130" i="3" s="1"/>
  <c r="C130" i="3"/>
  <c r="T130" i="3"/>
  <c r="Q132" i="1"/>
  <c r="I132" i="1"/>
  <c r="B45" i="3"/>
  <c r="S45" i="3" s="1"/>
  <c r="I47" i="1"/>
  <c r="C45" i="3"/>
  <c r="T45" i="3" s="1"/>
  <c r="Q47" i="1"/>
  <c r="B131" i="3"/>
  <c r="S131" i="3"/>
  <c r="Q133" i="1"/>
  <c r="C131" i="3"/>
  <c r="T131" i="3" s="1"/>
  <c r="B132" i="3"/>
  <c r="S132" i="3" s="1"/>
  <c r="Q134" i="1"/>
  <c r="C132" i="3"/>
  <c r="T132" i="3" s="1"/>
  <c r="I133" i="1"/>
  <c r="B46" i="3"/>
  <c r="D46" i="3" s="1"/>
  <c r="I48" i="1"/>
  <c r="C46" i="3"/>
  <c r="T46" i="3"/>
  <c r="Q48" i="1"/>
  <c r="B47" i="3"/>
  <c r="I49" i="1"/>
  <c r="Q49" i="1"/>
  <c r="C47" i="3"/>
  <c r="T47" i="3" s="1"/>
  <c r="B133" i="3"/>
  <c r="C133" i="3"/>
  <c r="T133" i="3"/>
  <c r="I135" i="1"/>
  <c r="Q135" i="1"/>
  <c r="I134" i="1"/>
  <c r="S133" i="3"/>
  <c r="B134" i="3"/>
  <c r="C134" i="3"/>
  <c r="T134" i="3"/>
  <c r="I136" i="1"/>
  <c r="Q136" i="1"/>
  <c r="B48" i="3"/>
  <c r="S48" i="3"/>
  <c r="Q50" i="1"/>
  <c r="C48" i="3"/>
  <c r="T48" i="3" s="1"/>
  <c r="B135" i="3"/>
  <c r="Q137" i="1"/>
  <c r="C135" i="3"/>
  <c r="T135" i="3" s="1"/>
  <c r="B49" i="3"/>
  <c r="D49" i="3" s="1"/>
  <c r="I51" i="1"/>
  <c r="I53" i="1"/>
  <c r="C49" i="3"/>
  <c r="T49" i="3" s="1"/>
  <c r="Q51" i="1"/>
  <c r="I50" i="1"/>
  <c r="S134" i="3"/>
  <c r="I137" i="1"/>
  <c r="B136" i="3"/>
  <c r="Q138" i="1"/>
  <c r="C136" i="3"/>
  <c r="T136" i="3" s="1"/>
  <c r="I138" i="1"/>
  <c r="C137" i="3"/>
  <c r="T137" i="3" s="1"/>
  <c r="B137" i="3"/>
  <c r="Q139" i="1"/>
  <c r="S137" i="3"/>
  <c r="B138" i="3"/>
  <c r="S138" i="3" s="1"/>
  <c r="C138" i="3"/>
  <c r="T138" i="3" s="1"/>
  <c r="Q140" i="1"/>
  <c r="I139" i="1"/>
  <c r="B139" i="3"/>
  <c r="Q141" i="1"/>
  <c r="C139" i="3"/>
  <c r="T139" i="3" s="1"/>
  <c r="I140" i="1"/>
  <c r="B140" i="3"/>
  <c r="Q142" i="1"/>
  <c r="C140" i="3"/>
  <c r="T140" i="3" s="1"/>
  <c r="I141" i="1"/>
  <c r="B141" i="3"/>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L7" i="2"/>
  <c r="N9" i="2"/>
  <c r="K9" i="2" s="1"/>
  <c r="N10" i="2"/>
  <c r="N11" i="2"/>
  <c r="K11" i="2" s="1"/>
  <c r="N12" i="2"/>
  <c r="K12" i="2" s="1"/>
  <c r="N13" i="2"/>
  <c r="N14" i="2"/>
  <c r="K14" i="2"/>
  <c r="N15" i="2"/>
  <c r="K15" i="2" s="1"/>
  <c r="N16" i="2"/>
  <c r="K16" i="2"/>
  <c r="N17" i="2"/>
  <c r="K17" i="2" s="1"/>
  <c r="N18" i="2"/>
  <c r="K18" i="2"/>
  <c r="N19" i="2"/>
  <c r="K19" i="2" s="1"/>
  <c r="N20" i="2"/>
  <c r="K20" i="2" s="1"/>
  <c r="N21" i="2"/>
  <c r="N22" i="2"/>
  <c r="K22" i="2"/>
  <c r="N23" i="2"/>
  <c r="K23" i="2" s="1"/>
  <c r="N24" i="2"/>
  <c r="K24" i="2"/>
  <c r="N25" i="2"/>
  <c r="K25" i="2" s="1"/>
  <c r="N26" i="2"/>
  <c r="K26" i="2"/>
  <c r="N27" i="2"/>
  <c r="K27" i="2" s="1"/>
  <c r="N28" i="2"/>
  <c r="K28" i="2" s="1"/>
  <c r="N29" i="2"/>
  <c r="N30" i="2"/>
  <c r="K30" i="2" s="1"/>
  <c r="N31" i="2"/>
  <c r="K31" i="2" s="1"/>
  <c r="N32" i="2"/>
  <c r="K32" i="2"/>
  <c r="N33" i="2"/>
  <c r="K33" i="2" s="1"/>
  <c r="N34" i="2"/>
  <c r="K34" i="2"/>
  <c r="N35" i="2"/>
  <c r="K35" i="2" s="1"/>
  <c r="N36" i="2"/>
  <c r="K36" i="2" s="1"/>
  <c r="N37" i="2"/>
  <c r="N38" i="2"/>
  <c r="K38" i="2" s="1"/>
  <c r="N39" i="2"/>
  <c r="K39" i="2" s="1"/>
  <c r="N40" i="2"/>
  <c r="K40" i="2"/>
  <c r="N41" i="2"/>
  <c r="K41" i="2" s="1"/>
  <c r="N42" i="2"/>
  <c r="K42" i="2"/>
  <c r="N43" i="2"/>
  <c r="K43" i="2" s="1"/>
  <c r="N44" i="2"/>
  <c r="K44" i="2" s="1"/>
  <c r="N45" i="2"/>
  <c r="N46" i="2"/>
  <c r="K46" i="2" s="1"/>
  <c r="N47" i="2"/>
  <c r="K47" i="2" s="1"/>
  <c r="N48" i="2"/>
  <c r="K48" i="2"/>
  <c r="N49" i="2"/>
  <c r="K49" i="2" s="1"/>
  <c r="N50" i="2"/>
  <c r="K50" i="2"/>
  <c r="N51" i="2"/>
  <c r="K51" i="2" s="1"/>
  <c r="N52" i="2"/>
  <c r="K52" i="2" s="1"/>
  <c r="N53" i="2"/>
  <c r="N54" i="2"/>
  <c r="K54" i="2"/>
  <c r="N55" i="2"/>
  <c r="K55" i="2" s="1"/>
  <c r="N56" i="2"/>
  <c r="K56" i="2"/>
  <c r="N57" i="2"/>
  <c r="K57" i="2" s="1"/>
  <c r="N58" i="2"/>
  <c r="K58" i="2"/>
  <c r="N59" i="2"/>
  <c r="K59" i="2" s="1"/>
  <c r="N60" i="2"/>
  <c r="K60" i="2" s="1"/>
  <c r="N61" i="2"/>
  <c r="N62" i="2"/>
  <c r="K62" i="2" s="1"/>
  <c r="N63" i="2"/>
  <c r="K63" i="2" s="1"/>
  <c r="N64" i="2"/>
  <c r="K64" i="2"/>
  <c r="N65" i="2"/>
  <c r="N66" i="2"/>
  <c r="K66" i="2"/>
  <c r="N67" i="2"/>
  <c r="K67" i="2" s="1"/>
  <c r="N68" i="2"/>
  <c r="K68" i="2" s="1"/>
  <c r="N69" i="2"/>
  <c r="N70" i="2"/>
  <c r="K70" i="2" s="1"/>
  <c r="N71" i="2"/>
  <c r="K71" i="2" s="1"/>
  <c r="N72" i="2"/>
  <c r="K72" i="2"/>
  <c r="N73" i="2"/>
  <c r="K73" i="2" s="1"/>
  <c r="N74" i="2"/>
  <c r="K74" i="2"/>
  <c r="N75" i="2"/>
  <c r="K75" i="2" s="1"/>
  <c r="N76" i="2"/>
  <c r="K76" i="2" s="1"/>
  <c r="N77" i="2"/>
  <c r="N78" i="2"/>
  <c r="K78" i="2"/>
  <c r="N79" i="2"/>
  <c r="K79" i="2" s="1"/>
  <c r="N80" i="2"/>
  <c r="L82" i="2"/>
  <c r="M7" i="2"/>
  <c r="M82" i="2"/>
  <c r="C141" i="3"/>
  <c r="T141" i="3" s="1"/>
  <c r="L11" i="2"/>
  <c r="L15" i="2"/>
  <c r="L19" i="2"/>
  <c r="L23" i="2"/>
  <c r="L27" i="2"/>
  <c r="L31" i="2"/>
  <c r="L35" i="2"/>
  <c r="L39" i="2"/>
  <c r="L43" i="2"/>
  <c r="L47" i="2"/>
  <c r="L51" i="2"/>
  <c r="L55" i="2"/>
  <c r="L59" i="2"/>
  <c r="L63" i="2"/>
  <c r="L67" i="2"/>
  <c r="L71" i="2"/>
  <c r="L75" i="2"/>
  <c r="L79" i="2"/>
  <c r="L10" i="2"/>
  <c r="L14" i="2"/>
  <c r="L18" i="2"/>
  <c r="L22" i="2"/>
  <c r="L26" i="2"/>
  <c r="L30" i="2"/>
  <c r="L34" i="2"/>
  <c r="L38" i="2"/>
  <c r="L42" i="2"/>
  <c r="L46" i="2"/>
  <c r="L50" i="2"/>
  <c r="L54" i="2"/>
  <c r="L58" i="2"/>
  <c r="L62" i="2"/>
  <c r="L66" i="2"/>
  <c r="L70" i="2"/>
  <c r="L74" i="2"/>
  <c r="L78" i="2"/>
  <c r="L81" i="2"/>
  <c r="Q143" i="1"/>
  <c r="N7" i="2"/>
  <c r="L12" i="2"/>
  <c r="L16" i="2"/>
  <c r="L20" i="2"/>
  <c r="L24" i="2"/>
  <c r="L28" i="2"/>
  <c r="L32" i="2"/>
  <c r="L36" i="2"/>
  <c r="L40" i="2"/>
  <c r="L44" i="2"/>
  <c r="L48" i="2"/>
  <c r="L52" i="2"/>
  <c r="L56" i="2"/>
  <c r="L60" i="2"/>
  <c r="L64" i="2"/>
  <c r="L68" i="2"/>
  <c r="L72" i="2"/>
  <c r="L76" i="2"/>
  <c r="L80" i="2"/>
  <c r="M81" i="2"/>
  <c r="M1" i="6"/>
  <c r="L9" i="2"/>
  <c r="L33" i="2"/>
  <c r="L41" i="2"/>
  <c r="L57" i="2"/>
  <c r="L73" i="2"/>
  <c r="L13" i="2"/>
  <c r="L21" i="2"/>
  <c r="L29" i="2"/>
  <c r="L37" i="2"/>
  <c r="L45" i="2"/>
  <c r="L53" i="2"/>
  <c r="L61" i="2"/>
  <c r="L69" i="2"/>
  <c r="L77" i="2"/>
  <c r="L17" i="2"/>
  <c r="L25" i="2"/>
  <c r="L49" i="2"/>
  <c r="L65" i="2"/>
  <c r="I143" i="1"/>
  <c r="I142" i="1"/>
  <c r="S140" i="3"/>
  <c r="S141" i="3"/>
  <c r="B142" i="3"/>
  <c r="C142" i="3"/>
  <c r="T142" i="3"/>
  <c r="I144" i="1"/>
  <c r="Q144" i="1"/>
  <c r="B143" i="3"/>
  <c r="S143" i="3" s="1"/>
  <c r="Q145" i="1"/>
  <c r="C143" i="3"/>
  <c r="T143" i="3" s="1"/>
  <c r="Q146" i="1"/>
  <c r="B144" i="3"/>
  <c r="C144" i="3"/>
  <c r="T144" i="3" s="1"/>
  <c r="I146" i="1"/>
  <c r="I145" i="1"/>
  <c r="B145" i="3"/>
  <c r="D145" i="3" s="1"/>
  <c r="C145" i="3"/>
  <c r="T145" i="3" s="1"/>
  <c r="I147" i="1"/>
  <c r="Q147" i="1"/>
  <c r="B146" i="3"/>
  <c r="S146" i="3" s="1"/>
  <c r="C146" i="3"/>
  <c r="T146" i="3" s="1"/>
  <c r="Q148" i="1"/>
  <c r="I148" i="1"/>
  <c r="B147" i="3"/>
  <c r="Q149" i="1"/>
  <c r="C147" i="3"/>
  <c r="T147" i="3"/>
  <c r="B148" i="3"/>
  <c r="Q150" i="1"/>
  <c r="C148" i="3"/>
  <c r="T148" i="3" s="1"/>
  <c r="I149" i="1"/>
  <c r="B149" i="3"/>
  <c r="S149" i="3"/>
  <c r="C149" i="3"/>
  <c r="T149" i="3"/>
  <c r="Q151" i="1"/>
  <c r="I150" i="1"/>
  <c r="I151" i="1"/>
  <c r="B150" i="3"/>
  <c r="E150" i="3" s="1"/>
  <c r="C150" i="3"/>
  <c r="T150" i="3" s="1"/>
  <c r="I152" i="1"/>
  <c r="Q152" i="1"/>
  <c r="B151" i="3"/>
  <c r="S151" i="3" s="1"/>
  <c r="Q153" i="1"/>
  <c r="C151" i="3"/>
  <c r="T151" i="3" s="1"/>
  <c r="I153" i="1"/>
  <c r="Q154" i="1"/>
  <c r="B152" i="3"/>
  <c r="C152" i="3"/>
  <c r="T152" i="3" s="1"/>
  <c r="I154" i="1"/>
  <c r="B153" i="3"/>
  <c r="C153" i="3"/>
  <c r="T153" i="3"/>
  <c r="I2" i="6"/>
  <c r="Q155" i="1"/>
  <c r="I155" i="1"/>
  <c r="B154" i="3"/>
  <c r="C154" i="3"/>
  <c r="T154" i="3"/>
  <c r="I156" i="1"/>
  <c r="Q156" i="1"/>
  <c r="B155" i="3"/>
  <c r="Q157" i="1"/>
  <c r="C155" i="3"/>
  <c r="T155" i="3" s="1"/>
  <c r="B156" i="3"/>
  <c r="S156" i="3" s="1"/>
  <c r="Q158" i="1"/>
  <c r="I158" i="1"/>
  <c r="C156" i="3"/>
  <c r="T156" i="3" s="1"/>
  <c r="S155" i="3"/>
  <c r="I157" i="1"/>
  <c r="B157" i="3"/>
  <c r="D157" i="3" s="1"/>
  <c r="C157" i="3"/>
  <c r="T157" i="3"/>
  <c r="Q159" i="1"/>
  <c r="B158" i="3"/>
  <c r="D158" i="3" s="1"/>
  <c r="C158" i="3"/>
  <c r="T158" i="3"/>
  <c r="Q160" i="1"/>
  <c r="I159" i="1"/>
  <c r="B159" i="3"/>
  <c r="Q161" i="1"/>
  <c r="C159" i="3"/>
  <c r="T159" i="3" s="1"/>
  <c r="I160" i="1"/>
  <c r="I161" i="1"/>
  <c r="Q162" i="1"/>
  <c r="B160" i="3"/>
  <c r="C160" i="3"/>
  <c r="T160" i="3"/>
  <c r="I162" i="1"/>
  <c r="B161" i="3"/>
  <c r="C161" i="3"/>
  <c r="T161" i="3" s="1"/>
  <c r="I163" i="1"/>
  <c r="Q163" i="1"/>
  <c r="B162" i="3"/>
  <c r="C162" i="3"/>
  <c r="T162" i="3" s="1"/>
  <c r="I164" i="1"/>
  <c r="Q164" i="1"/>
  <c r="B163" i="3"/>
  <c r="Q165" i="1"/>
  <c r="C163" i="3"/>
  <c r="T163" i="3" s="1"/>
  <c r="I165" i="1"/>
  <c r="B164" i="3"/>
  <c r="S164" i="3" s="1"/>
  <c r="Q166" i="1"/>
  <c r="C164" i="3"/>
  <c r="T164" i="3" s="1"/>
  <c r="B165" i="3"/>
  <c r="C165" i="3"/>
  <c r="T165" i="3" s="1"/>
  <c r="Q167" i="1"/>
  <c r="I166" i="1"/>
  <c r="I167" i="1"/>
  <c r="B166" i="3"/>
  <c r="S166" i="3" s="1"/>
  <c r="C166" i="3"/>
  <c r="T166" i="3" s="1"/>
  <c r="Q168" i="1"/>
  <c r="I168" i="1"/>
  <c r="B167" i="3"/>
  <c r="Q169" i="1"/>
  <c r="C167" i="3"/>
  <c r="T167" i="3" s="1"/>
  <c r="I169" i="1"/>
  <c r="B168" i="3"/>
  <c r="S168" i="3" s="1"/>
  <c r="Q170" i="1"/>
  <c r="C168" i="3"/>
  <c r="T168" i="3"/>
  <c r="I170" i="1"/>
  <c r="B169" i="3"/>
  <c r="D169" i="3" s="1"/>
  <c r="C169" i="3"/>
  <c r="T169" i="3"/>
  <c r="Q171" i="1"/>
  <c r="B170" i="3"/>
  <c r="S170" i="3" s="1"/>
  <c r="C170" i="3"/>
  <c r="T170" i="3"/>
  <c r="I172" i="1"/>
  <c r="Q172" i="1"/>
  <c r="S169" i="3"/>
  <c r="I171" i="1"/>
  <c r="Q173" i="1"/>
  <c r="B171" i="3"/>
  <c r="C171" i="3"/>
  <c r="T171" i="3" s="1"/>
  <c r="I173" i="1"/>
  <c r="S171" i="3"/>
  <c r="B172" i="3"/>
  <c r="S172" i="3" s="1"/>
  <c r="Q174" i="1"/>
  <c r="C172" i="3"/>
  <c r="T172" i="3" s="1"/>
  <c r="B173" i="3"/>
  <c r="S173" i="3" s="1"/>
  <c r="C173" i="3"/>
  <c r="T173" i="3" s="1"/>
  <c r="Q175" i="1"/>
  <c r="I174" i="1"/>
  <c r="I175" i="1"/>
  <c r="B174" i="3"/>
  <c r="S174" i="3" s="1"/>
  <c r="C174" i="3"/>
  <c r="T174" i="3"/>
  <c r="I176" i="1"/>
  <c r="Q176" i="1"/>
  <c r="B175" i="3"/>
  <c r="S175" i="3"/>
  <c r="Q177" i="1"/>
  <c r="C175" i="3"/>
  <c r="T175" i="3" s="1"/>
  <c r="I177" i="1"/>
  <c r="B176" i="3"/>
  <c r="Q178" i="1"/>
  <c r="C176" i="3"/>
  <c r="T176" i="3"/>
  <c r="B177" i="3"/>
  <c r="C177" i="3"/>
  <c r="T177" i="3" s="1"/>
  <c r="I179" i="1"/>
  <c r="Q179" i="1"/>
  <c r="I178" i="1"/>
  <c r="B178" i="3"/>
  <c r="C178" i="3"/>
  <c r="T178" i="3"/>
  <c r="Q180" i="1"/>
  <c r="B179" i="3"/>
  <c r="I181" i="1"/>
  <c r="Q181" i="1"/>
  <c r="C179" i="3"/>
  <c r="T179" i="3" s="1"/>
  <c r="I180" i="1"/>
  <c r="S179" i="3"/>
  <c r="B180" i="3"/>
  <c r="D180" i="3" s="1"/>
  <c r="Q182" i="1"/>
  <c r="C180" i="3"/>
  <c r="T180" i="3"/>
  <c r="S180" i="3"/>
  <c r="B181" i="3"/>
  <c r="D181" i="3"/>
  <c r="C181" i="3"/>
  <c r="T181" i="3" s="1"/>
  <c r="I183" i="1"/>
  <c r="Q183" i="1"/>
  <c r="I182" i="1"/>
  <c r="S181" i="3"/>
  <c r="B182" i="3"/>
  <c r="C182" i="3"/>
  <c r="T182" i="3"/>
  <c r="I184" i="1"/>
  <c r="Q184" i="1"/>
  <c r="B183" i="3"/>
  <c r="Q185" i="1"/>
  <c r="C183" i="3"/>
  <c r="T183" i="3" s="1"/>
  <c r="I185" i="1"/>
  <c r="B184" i="3"/>
  <c r="Q186" i="1"/>
  <c r="C184" i="3"/>
  <c r="T184" i="3"/>
  <c r="B185" i="3"/>
  <c r="C185" i="3"/>
  <c r="T185" i="3" s="1"/>
  <c r="Q187" i="1"/>
  <c r="I186" i="1"/>
  <c r="B186" i="3"/>
  <c r="C186" i="3"/>
  <c r="T186" i="3"/>
  <c r="Q188" i="1"/>
  <c r="S185" i="3"/>
  <c r="I187" i="1"/>
  <c r="I188" i="1"/>
  <c r="B187" i="3"/>
  <c r="I189" i="1"/>
  <c r="Q189" i="1"/>
  <c r="C187" i="3"/>
  <c r="T187" i="3" s="1"/>
  <c r="B188" i="3"/>
  <c r="S188" i="3"/>
  <c r="Q190" i="1"/>
  <c r="C188" i="3"/>
  <c r="T188" i="3" s="1"/>
  <c r="I190" i="1"/>
  <c r="B189" i="3"/>
  <c r="C189" i="3"/>
  <c r="T189" i="3" s="1"/>
  <c r="Q191" i="1"/>
  <c r="I191" i="1"/>
  <c r="B190" i="3"/>
  <c r="C190" i="3"/>
  <c r="T190" i="3"/>
  <c r="I192" i="1"/>
  <c r="Q192" i="1"/>
  <c r="B191" i="3"/>
  <c r="S191" i="3" s="1"/>
  <c r="Q193" i="1"/>
  <c r="C191" i="3"/>
  <c r="T191" i="3" s="1"/>
  <c r="I193" i="1"/>
  <c r="B192" i="3"/>
  <c r="S192" i="3" s="1"/>
  <c r="D192" i="3"/>
  <c r="Q194" i="1"/>
  <c r="C192" i="3"/>
  <c r="T192" i="3"/>
  <c r="I194" i="1"/>
  <c r="AB91" i="4"/>
  <c r="AB92" i="4" s="1"/>
  <c r="AB93" i="4" s="1"/>
  <c r="AB94" i="4" s="1"/>
  <c r="AB95" i="4" s="1"/>
  <c r="AB96" i="4" s="1"/>
  <c r="AB97" i="4" s="1"/>
  <c r="AB98" i="4" s="1"/>
  <c r="AB99" i="4" s="1"/>
  <c r="AB100" i="4" s="1"/>
  <c r="AB101" i="4" s="1"/>
  <c r="AB102" i="4" s="1"/>
  <c r="AB103" i="4" s="1"/>
  <c r="AB104" i="4" s="1"/>
  <c r="AB105" i="4" s="1"/>
  <c r="AB106" i="4" s="1"/>
  <c r="AB107" i="4" s="1"/>
  <c r="AB108" i="4" s="1"/>
  <c r="AB109" i="4" s="1"/>
  <c r="AB110" i="4" s="1"/>
  <c r="AB111" i="4" s="1"/>
  <c r="AB112" i="4" s="1"/>
  <c r="AB113" i="4" s="1"/>
  <c r="AB114" i="4" s="1"/>
  <c r="AB115" i="4" s="1"/>
  <c r="AB116" i="4" s="1"/>
  <c r="AB117" i="4" s="1"/>
  <c r="AB118" i="4" s="1"/>
  <c r="AB119" i="4" s="1"/>
  <c r="AB120" i="4" s="1"/>
  <c r="AB121" i="4" s="1"/>
  <c r="AB122" i="4" s="1"/>
  <c r="AB123" i="4" s="1"/>
  <c r="AB124" i="4" s="1"/>
  <c r="AB125" i="4" s="1"/>
  <c r="AB126" i="4" s="1"/>
  <c r="AB127" i="4" s="1"/>
  <c r="AB128" i="4" s="1"/>
  <c r="AB129" i="4" s="1"/>
  <c r="AB130" i="4" s="1"/>
  <c r="AB131" i="4" s="1"/>
  <c r="AB132" i="4" s="1"/>
  <c r="AB133" i="4" s="1"/>
  <c r="AB134" i="4" s="1"/>
  <c r="AB135" i="4" s="1"/>
  <c r="AB136" i="4" s="1"/>
  <c r="AB137" i="4" s="1"/>
  <c r="AB138" i="4" s="1"/>
  <c r="AB139" i="4" s="1"/>
  <c r="AB140" i="4" s="1"/>
  <c r="AB141" i="4" s="1"/>
  <c r="AB142" i="4" s="1"/>
  <c r="AB143" i="4" s="1"/>
  <c r="AB144" i="4" s="1"/>
  <c r="AB145" i="4" s="1"/>
  <c r="AB146" i="4" s="1"/>
  <c r="AB147" i="4" s="1"/>
  <c r="AB148" i="4" s="1"/>
  <c r="AB149" i="4" s="1"/>
  <c r="AB150" i="4" s="1"/>
  <c r="AB151" i="4" s="1"/>
  <c r="AB152" i="4" s="1"/>
  <c r="AB153" i="4" s="1"/>
  <c r="AB154" i="4" s="1"/>
  <c r="AB155" i="4" s="1"/>
  <c r="AB156" i="4" s="1"/>
  <c r="AB157" i="4" s="1"/>
  <c r="AB158" i="4" s="1"/>
  <c r="AB159" i="4" s="1"/>
  <c r="AB160" i="4" s="1"/>
  <c r="AB161" i="4" s="1"/>
  <c r="AB162" i="4" s="1"/>
  <c r="AB163" i="4" s="1"/>
  <c r="AB164" i="4" s="1"/>
  <c r="AB165" i="4" s="1"/>
  <c r="AB166" i="4" s="1"/>
  <c r="AB167" i="4" s="1"/>
  <c r="AB168" i="4" s="1"/>
  <c r="AB169" i="4" s="1"/>
  <c r="AB170" i="4" s="1"/>
  <c r="AB171" i="4" s="1"/>
  <c r="AB172" i="4" s="1"/>
  <c r="AB173" i="4" s="1"/>
  <c r="AB174" i="4" s="1"/>
  <c r="AB175" i="4" s="1"/>
  <c r="AB176" i="4" s="1"/>
  <c r="AB177" i="4" s="1"/>
  <c r="AB178" i="4" s="1"/>
  <c r="AB179" i="4" s="1"/>
  <c r="AB180" i="4" s="1"/>
  <c r="AB181" i="4" s="1"/>
  <c r="AB182" i="4" s="1"/>
  <c r="AB183" i="4" s="1"/>
  <c r="AB184" i="4" s="1"/>
  <c r="AB185" i="4" s="1"/>
  <c r="AB186" i="4" s="1"/>
  <c r="AB187" i="4" s="1"/>
  <c r="AB188" i="4" s="1"/>
  <c r="AB189" i="4" s="1"/>
  <c r="AB190" i="4" s="1"/>
  <c r="AB191" i="4" s="1"/>
  <c r="AB192" i="4" s="1"/>
  <c r="AB193" i="4" s="1"/>
  <c r="AB194" i="4" s="1"/>
  <c r="AB195" i="4" s="1"/>
  <c r="AB196" i="4" s="1"/>
  <c r="AB197" i="4" s="1"/>
  <c r="AB198" i="4" s="1"/>
  <c r="AB199" i="4" s="1"/>
  <c r="AB200" i="4" s="1"/>
  <c r="AB201" i="4" s="1"/>
  <c r="AB202" i="4" s="1"/>
  <c r="AB203" i="4" s="1"/>
  <c r="AB204" i="4" s="1"/>
  <c r="AB205" i="4" s="1"/>
  <c r="AB206" i="4" s="1"/>
  <c r="AB207" i="4" s="1"/>
  <c r="AB208" i="4" s="1"/>
  <c r="AB209" i="4" s="1"/>
  <c r="AB210" i="4" s="1"/>
  <c r="AB211" i="4" s="1"/>
  <c r="AB212" i="4" s="1"/>
  <c r="AB213" i="4" s="1"/>
  <c r="AB214" i="4" s="1"/>
  <c r="AB215" i="4" s="1"/>
  <c r="AB216" i="4" s="1"/>
  <c r="AB217" i="4" s="1"/>
  <c r="AB218" i="4" s="1"/>
  <c r="AB219" i="4" s="1"/>
  <c r="AB220" i="4" s="1"/>
  <c r="AB221" i="4" s="1"/>
  <c r="AB222" i="4" s="1"/>
  <c r="AB223" i="4" s="1"/>
  <c r="AB224" i="4" s="1"/>
  <c r="AB225" i="4" s="1"/>
  <c r="AB226" i="4" s="1"/>
  <c r="AB227" i="4" s="1"/>
  <c r="AB228" i="4" s="1"/>
  <c r="AB229" i="4" s="1"/>
  <c r="AB230" i="4" s="1"/>
  <c r="AB231" i="4" s="1"/>
  <c r="AB232" i="4" s="1"/>
  <c r="AB233" i="4" s="1"/>
  <c r="AB234" i="4" s="1"/>
  <c r="AB235" i="4" s="1"/>
  <c r="AB236" i="4" s="1"/>
  <c r="AB237" i="4" s="1"/>
  <c r="AB238" i="4" s="1"/>
  <c r="AB239" i="4" s="1"/>
  <c r="AB240" i="4" s="1"/>
  <c r="AB241" i="4" s="1"/>
  <c r="AB242" i="4" s="1"/>
  <c r="AB243" i="4" s="1"/>
  <c r="AB244" i="4" s="1"/>
  <c r="AB245" i="4" s="1"/>
  <c r="AB246" i="4" s="1"/>
  <c r="AB247" i="4" s="1"/>
  <c r="AB248" i="4" s="1"/>
  <c r="AB249" i="4" s="1"/>
  <c r="AB250" i="4" s="1"/>
  <c r="AB251" i="4" s="1"/>
  <c r="AB252" i="4" s="1"/>
  <c r="AB253" i="4" s="1"/>
  <c r="AB254" i="4" s="1"/>
  <c r="AB255" i="4" s="1"/>
  <c r="AB256" i="4" s="1"/>
  <c r="AB257" i="4" s="1"/>
  <c r="AB258" i="4" s="1"/>
  <c r="AB259" i="4" s="1"/>
  <c r="AB260" i="4" s="1"/>
  <c r="AB261" i="4" s="1"/>
  <c r="AB262" i="4" s="1"/>
  <c r="AB263" i="4" s="1"/>
  <c r="AB264" i="4" s="1"/>
  <c r="AB265" i="4" s="1"/>
  <c r="AB266" i="4" s="1"/>
  <c r="B193" i="3"/>
  <c r="C193" i="3"/>
  <c r="T193" i="3"/>
  <c r="Q195" i="1"/>
  <c r="I195" i="1"/>
  <c r="B194" i="3"/>
  <c r="C194" i="3"/>
  <c r="T194" i="3" s="1"/>
  <c r="Q196" i="1"/>
  <c r="B195" i="3"/>
  <c r="Q197" i="1"/>
  <c r="C195" i="3"/>
  <c r="T195" i="3" s="1"/>
  <c r="I196" i="1"/>
  <c r="I197" i="1"/>
  <c r="B196" i="3"/>
  <c r="S196" i="3" s="1"/>
  <c r="Q198" i="1"/>
  <c r="C196" i="3"/>
  <c r="T196" i="3" s="1"/>
  <c r="I198" i="1"/>
  <c r="B197" i="3"/>
  <c r="S197" i="3" s="1"/>
  <c r="D197" i="3"/>
  <c r="C197" i="3"/>
  <c r="T197" i="3" s="1"/>
  <c r="I199" i="1"/>
  <c r="Q199" i="1"/>
  <c r="B198" i="3"/>
  <c r="C198" i="3"/>
  <c r="T198" i="3"/>
  <c r="I200" i="1"/>
  <c r="Q200" i="1"/>
  <c r="B199" i="3"/>
  <c r="Q201" i="1"/>
  <c r="C199" i="3"/>
  <c r="T199" i="3" s="1"/>
  <c r="I201" i="1"/>
  <c r="B200" i="3"/>
  <c r="Q202" i="1"/>
  <c r="C200" i="3"/>
  <c r="T200" i="3" s="1"/>
  <c r="I202" i="1"/>
  <c r="B201" i="3"/>
  <c r="C201" i="3"/>
  <c r="T201" i="3" s="1"/>
  <c r="I203" i="1"/>
  <c r="Q203" i="1"/>
  <c r="S200" i="3"/>
  <c r="B202" i="3"/>
  <c r="S202" i="3"/>
  <c r="C202" i="3"/>
  <c r="T202" i="3" s="1"/>
  <c r="I204" i="1"/>
  <c r="Q204" i="1"/>
  <c r="B203" i="3"/>
  <c r="I205" i="1"/>
  <c r="Q205" i="1"/>
  <c r="C203" i="3"/>
  <c r="T203" i="3"/>
  <c r="B204" i="3"/>
  <c r="D204" i="3" s="1"/>
  <c r="Q206" i="1"/>
  <c r="C204" i="3"/>
  <c r="T204" i="3"/>
  <c r="I206" i="1"/>
  <c r="B205" i="3"/>
  <c r="C205" i="3"/>
  <c r="T205" i="3" s="1"/>
  <c r="Q207" i="1"/>
  <c r="B206" i="3"/>
  <c r="C206" i="3"/>
  <c r="T206" i="3"/>
  <c r="I208" i="1"/>
  <c r="Q208" i="1"/>
  <c r="I207" i="1"/>
  <c r="S205" i="3"/>
  <c r="B207" i="3"/>
  <c r="E207" i="3" s="1"/>
  <c r="S207" i="3"/>
  <c r="Q209" i="1"/>
  <c r="C207" i="3"/>
  <c r="T207" i="3" s="1"/>
  <c r="B208" i="3"/>
  <c r="Q210" i="1"/>
  <c r="C208" i="3"/>
  <c r="T208" i="3" s="1"/>
  <c r="I210" i="1"/>
  <c r="I209" i="1"/>
  <c r="B209" i="3"/>
  <c r="C209" i="3"/>
  <c r="T209" i="3"/>
  <c r="I211" i="1"/>
  <c r="Q211" i="1"/>
  <c r="S208" i="3"/>
  <c r="B210" i="3"/>
  <c r="D210" i="3" s="1"/>
  <c r="C210" i="3"/>
  <c r="T210" i="3" s="1"/>
  <c r="Q212" i="1"/>
  <c r="B211" i="3"/>
  <c r="Q213" i="1"/>
  <c r="C211" i="3"/>
  <c r="T211" i="3"/>
  <c r="I212" i="1"/>
  <c r="I213" i="1"/>
  <c r="B212" i="3"/>
  <c r="Q214" i="1"/>
  <c r="C212" i="3"/>
  <c r="T212" i="3" s="1"/>
  <c r="I214" i="1"/>
  <c r="B213" i="3"/>
  <c r="S213" i="3" s="1"/>
  <c r="C213" i="3"/>
  <c r="T213" i="3"/>
  <c r="Q215" i="1"/>
  <c r="I215" i="1"/>
  <c r="B214" i="3"/>
  <c r="C214" i="3"/>
  <c r="T214" i="3"/>
  <c r="I216" i="1"/>
  <c r="Q216" i="1"/>
  <c r="B215" i="3"/>
  <c r="Q217" i="1"/>
  <c r="C215" i="3"/>
  <c r="T215" i="3" s="1"/>
  <c r="I217" i="1"/>
  <c r="S215" i="3"/>
  <c r="B216" i="3"/>
  <c r="Q218" i="1"/>
  <c r="C216" i="3"/>
  <c r="T216" i="3"/>
  <c r="I218" i="1"/>
  <c r="B217" i="3"/>
  <c r="C217" i="3"/>
  <c r="T217" i="3"/>
  <c r="Q219" i="1"/>
  <c r="B218" i="3"/>
  <c r="S218" i="3"/>
  <c r="C218" i="3"/>
  <c r="T218" i="3" s="1"/>
  <c r="I220" i="1"/>
  <c r="Q220" i="1"/>
  <c r="S217" i="3"/>
  <c r="I219" i="1"/>
  <c r="B219" i="3"/>
  <c r="Q221" i="1"/>
  <c r="C219" i="3"/>
  <c r="T219" i="3" s="1"/>
  <c r="B220" i="3"/>
  <c r="Q222" i="1"/>
  <c r="I222" i="1"/>
  <c r="C220" i="3"/>
  <c r="T220" i="3" s="1"/>
  <c r="S219" i="3"/>
  <c r="I221" i="1"/>
  <c r="B221" i="3"/>
  <c r="C221" i="3"/>
  <c r="T221" i="3"/>
  <c r="Q223" i="1"/>
  <c r="I223" i="1"/>
  <c r="B222" i="3"/>
  <c r="C222" i="3"/>
  <c r="T222" i="3"/>
  <c r="I224" i="1"/>
  <c r="Q224" i="1"/>
  <c r="B223" i="3"/>
  <c r="S223" i="3" s="1"/>
  <c r="Q225" i="1"/>
  <c r="C223" i="3"/>
  <c r="T223" i="3" s="1"/>
  <c r="I225" i="1"/>
  <c r="B224" i="3"/>
  <c r="D224" i="3" s="1"/>
  <c r="S224" i="3"/>
  <c r="I226" i="1"/>
  <c r="Q226" i="1"/>
  <c r="C224" i="3"/>
  <c r="T224" i="3"/>
  <c r="B225" i="3"/>
  <c r="D225" i="3" s="1"/>
  <c r="Q227" i="1"/>
  <c r="C225" i="3"/>
  <c r="T225" i="3"/>
  <c r="B226" i="3"/>
  <c r="Q228" i="1"/>
  <c r="C226" i="3"/>
  <c r="T226" i="3" s="1"/>
  <c r="I227" i="1"/>
  <c r="S225" i="3"/>
  <c r="S226" i="3"/>
  <c r="B227" i="3"/>
  <c r="S227" i="3"/>
  <c r="I229" i="1"/>
  <c r="Q229" i="1"/>
  <c r="C227" i="3"/>
  <c r="T227" i="3"/>
  <c r="I228" i="1"/>
  <c r="B228" i="3"/>
  <c r="D228" i="3" s="1"/>
  <c r="Q230" i="1"/>
  <c r="C228" i="3"/>
  <c r="T228" i="3" s="1"/>
  <c r="B229" i="3"/>
  <c r="S229" i="3" s="1"/>
  <c r="Q231" i="1"/>
  <c r="C229" i="3"/>
  <c r="T229" i="3" s="1"/>
  <c r="I230" i="1"/>
  <c r="I231" i="1"/>
  <c r="B230" i="3"/>
  <c r="Q232" i="1"/>
  <c r="C230" i="3"/>
  <c r="T230" i="3"/>
  <c r="I232" i="1"/>
  <c r="B231" i="3"/>
  <c r="S231" i="3" s="1"/>
  <c r="I233" i="1"/>
  <c r="Q233" i="1"/>
  <c r="C231" i="3"/>
  <c r="T231" i="3" s="1"/>
  <c r="B232" i="3"/>
  <c r="D232" i="3" s="1"/>
  <c r="I234" i="1"/>
  <c r="Q234" i="1"/>
  <c r="C232" i="3"/>
  <c r="T232" i="3" s="1"/>
  <c r="B233" i="3"/>
  <c r="Q235" i="1"/>
  <c r="C233" i="3"/>
  <c r="T233" i="3" s="1"/>
  <c r="I235" i="1"/>
  <c r="B234" i="3"/>
  <c r="S234" i="3"/>
  <c r="I236" i="1"/>
  <c r="Q236" i="1"/>
  <c r="C234" i="3"/>
  <c r="T234" i="3"/>
  <c r="B235" i="3"/>
  <c r="S235" i="3" s="1"/>
  <c r="I237" i="1"/>
  <c r="Q237" i="1"/>
  <c r="C235" i="3"/>
  <c r="T235" i="3" s="1"/>
  <c r="B236" i="3"/>
  <c r="I238" i="1"/>
  <c r="Q238" i="1"/>
  <c r="C236" i="3"/>
  <c r="T236" i="3" s="1"/>
  <c r="B237" i="3"/>
  <c r="S237" i="3"/>
  <c r="I239" i="1"/>
  <c r="Q239" i="1"/>
  <c r="C237" i="3"/>
  <c r="T237" i="3"/>
  <c r="B238" i="3"/>
  <c r="D238" i="3" s="1"/>
  <c r="Q240" i="1"/>
  <c r="C238" i="3"/>
  <c r="T238" i="3"/>
  <c r="B239" i="3"/>
  <c r="Q241" i="1"/>
  <c r="C239" i="3"/>
  <c r="T239" i="3" s="1"/>
  <c r="I240" i="1"/>
  <c r="B240" i="3"/>
  <c r="D240" i="3" s="1"/>
  <c r="Q242" i="1"/>
  <c r="C240" i="3"/>
  <c r="T240" i="3" s="1"/>
  <c r="I241" i="1"/>
  <c r="B241" i="3"/>
  <c r="S241" i="3" s="1"/>
  <c r="I243" i="1"/>
  <c r="Q243" i="1"/>
  <c r="C241" i="3"/>
  <c r="T241" i="3" s="1"/>
  <c r="S240" i="3"/>
  <c r="I242" i="1"/>
  <c r="B242" i="3"/>
  <c r="Q244" i="1"/>
  <c r="C242" i="3"/>
  <c r="T242" i="3"/>
  <c r="B243" i="3"/>
  <c r="I245" i="1"/>
  <c r="Q245" i="1"/>
  <c r="C243" i="3"/>
  <c r="T243" i="3" s="1"/>
  <c r="I244" i="1"/>
  <c r="B244" i="3"/>
  <c r="D244" i="3" s="1"/>
  <c r="I246" i="1"/>
  <c r="Q246" i="1"/>
  <c r="C244" i="3"/>
  <c r="T244" i="3"/>
  <c r="B245" i="3"/>
  <c r="Q247" i="1"/>
  <c r="C245" i="3"/>
  <c r="T245" i="3" s="1"/>
  <c r="S244" i="3"/>
  <c r="I247" i="1"/>
  <c r="B246" i="3"/>
  <c r="S246" i="3" s="1"/>
  <c r="I248" i="1"/>
  <c r="Q248" i="1"/>
  <c r="C246" i="3"/>
  <c r="T246" i="3" s="1"/>
  <c r="B247" i="3"/>
  <c r="Q249" i="1"/>
  <c r="C247" i="3"/>
  <c r="T247" i="3" s="1"/>
  <c r="I249" i="1"/>
  <c r="S247" i="3"/>
  <c r="B248" i="3"/>
  <c r="I250" i="1"/>
  <c r="Q250" i="1"/>
  <c r="C248" i="3"/>
  <c r="T248" i="3" s="1"/>
  <c r="B249" i="3"/>
  <c r="D249" i="3" s="1"/>
  <c r="I251" i="1"/>
  <c r="Q251" i="1"/>
  <c r="C249" i="3"/>
  <c r="T249" i="3" s="1"/>
  <c r="B250" i="3"/>
  <c r="S250" i="3" s="1"/>
  <c r="I252" i="1"/>
  <c r="Q252" i="1"/>
  <c r="C250" i="3"/>
  <c r="T250" i="3" s="1"/>
  <c r="B251" i="3"/>
  <c r="Q253" i="1"/>
  <c r="C251" i="3"/>
  <c r="T251" i="3" s="1"/>
  <c r="S251" i="3"/>
  <c r="B252" i="3"/>
  <c r="Q254" i="1"/>
  <c r="C252" i="3"/>
  <c r="T252" i="3" s="1"/>
  <c r="I253" i="1"/>
  <c r="I254" i="1"/>
  <c r="S252" i="3"/>
  <c r="B253" i="3"/>
  <c r="I255" i="1"/>
  <c r="Q255" i="1"/>
  <c r="C253" i="3"/>
  <c r="T253" i="3" s="1"/>
  <c r="B254" i="3"/>
  <c r="S254" i="3" s="1"/>
  <c r="Q256" i="1"/>
  <c r="C254" i="3"/>
  <c r="T254" i="3" s="1"/>
  <c r="B255" i="3"/>
  <c r="S255" i="3" s="1"/>
  <c r="Q257" i="1"/>
  <c r="C255" i="3"/>
  <c r="T255" i="3" s="1"/>
  <c r="I256" i="1"/>
  <c r="I258" i="1"/>
  <c r="Q258" i="1"/>
  <c r="C256" i="3"/>
  <c r="T256" i="3" s="1"/>
  <c r="B256" i="3"/>
  <c r="S256" i="3"/>
  <c r="I257" i="1"/>
  <c r="B257" i="3"/>
  <c r="Q259" i="1"/>
  <c r="C257" i="3"/>
  <c r="T257" i="3" s="1"/>
  <c r="I259" i="1"/>
  <c r="B258" i="3"/>
  <c r="E258" i="3" s="1"/>
  <c r="Q260" i="1"/>
  <c r="C258" i="3"/>
  <c r="T258" i="3" s="1"/>
  <c r="S258" i="3"/>
  <c r="Q261" i="1"/>
  <c r="B259" i="3"/>
  <c r="C259" i="3"/>
  <c r="T259" i="3" s="1"/>
  <c r="I260" i="1"/>
  <c r="I261" i="1"/>
  <c r="B260" i="3"/>
  <c r="Q262" i="1"/>
  <c r="C260" i="3"/>
  <c r="T260" i="3"/>
  <c r="I262" i="1"/>
  <c r="B261" i="3"/>
  <c r="Q263" i="1"/>
  <c r="C261" i="3"/>
  <c r="T261" i="3" s="1"/>
  <c r="B262" i="3"/>
  <c r="Q264" i="1"/>
  <c r="C262" i="3"/>
  <c r="T262" i="3" s="1"/>
  <c r="I263" i="1"/>
  <c r="S261" i="3"/>
  <c r="I264" i="1"/>
  <c r="B263" i="3"/>
  <c r="S263" i="3"/>
  <c r="I265" i="1"/>
  <c r="Q265" i="1"/>
  <c r="C263" i="3"/>
  <c r="T263" i="3"/>
  <c r="B264" i="3"/>
  <c r="D264" i="3" s="1"/>
  <c r="Q266" i="1"/>
  <c r="C264" i="3"/>
  <c r="T264" i="3" s="1"/>
  <c r="B265" i="3"/>
  <c r="S265" i="3" s="1"/>
  <c r="I267" i="1"/>
  <c r="Q267" i="1"/>
  <c r="C265" i="3"/>
  <c r="T265" i="3" s="1"/>
  <c r="S264" i="3"/>
  <c r="I266" i="1"/>
  <c r="B266" i="3"/>
  <c r="S266" i="3" s="1"/>
  <c r="Q268" i="1"/>
  <c r="C266" i="3"/>
  <c r="T266" i="3" s="1"/>
  <c r="B267" i="3"/>
  <c r="S267" i="3"/>
  <c r="I269" i="1"/>
  <c r="Q269" i="1"/>
  <c r="C267" i="3"/>
  <c r="T267" i="3"/>
  <c r="I268" i="1"/>
  <c r="B268" i="3"/>
  <c r="Q270" i="1"/>
  <c r="C268" i="3"/>
  <c r="T268" i="3" s="1"/>
  <c r="B269" i="3"/>
  <c r="I271" i="1"/>
  <c r="Q271" i="1"/>
  <c r="C269" i="3"/>
  <c r="T269" i="3" s="1"/>
  <c r="I270" i="1"/>
  <c r="B270" i="3"/>
  <c r="I272" i="1"/>
  <c r="Q272" i="1"/>
  <c r="C270" i="3"/>
  <c r="T270" i="3" s="1"/>
  <c r="B271" i="3"/>
  <c r="D271" i="3" s="1"/>
  <c r="Q273" i="1"/>
  <c r="C271" i="3"/>
  <c r="T271" i="3" s="1"/>
  <c r="I273" i="1"/>
  <c r="B272" i="3"/>
  <c r="S272" i="3" s="1"/>
  <c r="Q274" i="1"/>
  <c r="C272" i="3"/>
  <c r="T272" i="3" s="1"/>
  <c r="I274" i="1"/>
  <c r="I275" i="1"/>
  <c r="Q275" i="1"/>
  <c r="I276" i="1"/>
  <c r="B273" i="3"/>
  <c r="S273" i="3" s="1"/>
  <c r="C273" i="3"/>
  <c r="T273" i="3" s="1"/>
  <c r="D110" i="3"/>
  <c r="D116" i="3"/>
  <c r="D117" i="3"/>
  <c r="D121" i="3"/>
  <c r="D122" i="3"/>
  <c r="D128" i="3"/>
  <c r="D129" i="3"/>
  <c r="D130" i="3"/>
  <c r="D131" i="3"/>
  <c r="D133" i="3"/>
  <c r="D134" i="3"/>
  <c r="D137" i="3"/>
  <c r="D138" i="3"/>
  <c r="D139" i="3"/>
  <c r="D140" i="3"/>
  <c r="D141" i="3"/>
  <c r="D143" i="3"/>
  <c r="D146" i="3"/>
  <c r="D148" i="3"/>
  <c r="D149" i="3"/>
  <c r="D150" i="3"/>
  <c r="F150" i="3" s="1"/>
  <c r="H150" i="3" s="1"/>
  <c r="L150" i="3" s="1"/>
  <c r="D151" i="3"/>
  <c r="D153" i="3"/>
  <c r="D154" i="3"/>
  <c r="D155" i="3"/>
  <c r="D163" i="3"/>
  <c r="D164" i="3"/>
  <c r="D166" i="3"/>
  <c r="D167" i="3"/>
  <c r="D170" i="3"/>
  <c r="D171" i="3"/>
  <c r="D172" i="3"/>
  <c r="D173" i="3"/>
  <c r="D174" i="3"/>
  <c r="D175" i="3"/>
  <c r="D177" i="3"/>
  <c r="D179" i="3"/>
  <c r="D185" i="3"/>
  <c r="D186" i="3"/>
  <c r="D191" i="3"/>
  <c r="D196" i="3"/>
  <c r="D198" i="3"/>
  <c r="D202" i="3"/>
  <c r="D207" i="3"/>
  <c r="D208" i="3"/>
  <c r="D209" i="3"/>
  <c r="D215" i="3"/>
  <c r="D217" i="3"/>
  <c r="D218" i="3"/>
  <c r="D219" i="3"/>
  <c r="D221" i="3"/>
  <c r="D223" i="3"/>
  <c r="D226" i="3"/>
  <c r="D229" i="3"/>
  <c r="D231" i="3"/>
  <c r="D235" i="3"/>
  <c r="D237" i="3"/>
  <c r="D239" i="3"/>
  <c r="D241" i="3"/>
  <c r="D246" i="3"/>
  <c r="D247" i="3"/>
  <c r="D250" i="3"/>
  <c r="D251" i="3"/>
  <c r="D252" i="3"/>
  <c r="D254" i="3"/>
  <c r="D255" i="3"/>
  <c r="D256" i="3"/>
  <c r="D258" i="3"/>
  <c r="G258" i="3" s="1"/>
  <c r="K258" i="3" s="1"/>
  <c r="D261" i="3"/>
  <c r="D266" i="3"/>
  <c r="D267" i="3"/>
  <c r="N81" i="2"/>
  <c r="K81" i="2" s="1"/>
  <c r="I84" i="2"/>
  <c r="D81" i="3"/>
  <c r="D84" i="3"/>
  <c r="D92" i="3"/>
  <c r="E267" i="3"/>
  <c r="E268" i="3"/>
  <c r="E261" i="3"/>
  <c r="E256" i="3"/>
  <c r="F256" i="3" s="1"/>
  <c r="J256" i="3" s="1"/>
  <c r="E253" i="3"/>
  <c r="E241" i="3"/>
  <c r="E237" i="3"/>
  <c r="F237" i="3" s="1"/>
  <c r="J237" i="3" s="1"/>
  <c r="E229" i="3"/>
  <c r="F229" i="3" s="1"/>
  <c r="J229" i="3" s="1"/>
  <c r="E225" i="3"/>
  <c r="E217" i="3"/>
  <c r="G217" i="3" s="1"/>
  <c r="K217" i="3" s="1"/>
  <c r="E213" i="3"/>
  <c r="E208" i="3"/>
  <c r="F208" i="3" s="1"/>
  <c r="E202" i="3"/>
  <c r="E185" i="3"/>
  <c r="E180" i="3"/>
  <c r="G180" i="3" s="1"/>
  <c r="K180" i="3" s="1"/>
  <c r="E173" i="3"/>
  <c r="F173" i="3" s="1"/>
  <c r="H173" i="3" s="1"/>
  <c r="L173" i="3" s="1"/>
  <c r="E169" i="3"/>
  <c r="E166" i="3"/>
  <c r="E149" i="3"/>
  <c r="E146" i="3"/>
  <c r="G146" i="3" s="1"/>
  <c r="E140" i="3"/>
  <c r="E134" i="3"/>
  <c r="G134" i="3" s="1"/>
  <c r="E273" i="3"/>
  <c r="E252" i="3"/>
  <c r="G252" i="3" s="1"/>
  <c r="K252" i="3" s="1"/>
  <c r="E247" i="3"/>
  <c r="E240" i="3"/>
  <c r="E236" i="3"/>
  <c r="E231" i="3"/>
  <c r="E223" i="3"/>
  <c r="F223" i="3" s="1"/>
  <c r="E219" i="3"/>
  <c r="E196" i="3"/>
  <c r="E191" i="3"/>
  <c r="G191" i="3" s="1"/>
  <c r="K191" i="3" s="1"/>
  <c r="E188" i="3"/>
  <c r="E172" i="3"/>
  <c r="E164" i="3"/>
  <c r="E156" i="3"/>
  <c r="E151" i="3"/>
  <c r="G151" i="3" s="1"/>
  <c r="E141" i="3"/>
  <c r="E133" i="3"/>
  <c r="E110" i="3"/>
  <c r="F110" i="3" s="1"/>
  <c r="E251" i="3"/>
  <c r="G251" i="3" s="1"/>
  <c r="I251" i="3" s="1"/>
  <c r="M251" i="3" s="1"/>
  <c r="E232" i="3"/>
  <c r="E228" i="3"/>
  <c r="G228" i="3" s="1"/>
  <c r="I228" i="3" s="1"/>
  <c r="M228" i="3" s="1"/>
  <c r="E224" i="3"/>
  <c r="G224" i="3" s="1"/>
  <c r="I224" i="3" s="1"/>
  <c r="M224" i="3" s="1"/>
  <c r="E218" i="3"/>
  <c r="E215" i="3"/>
  <c r="E192" i="3"/>
  <c r="E179" i="3"/>
  <c r="G179" i="3" s="1"/>
  <c r="I179" i="3" s="1"/>
  <c r="M179" i="3" s="1"/>
  <c r="E174" i="3"/>
  <c r="E171" i="3"/>
  <c r="E155" i="3"/>
  <c r="G155" i="3"/>
  <c r="K155" i="3" s="1"/>
  <c r="E274" i="3"/>
  <c r="E137" i="3"/>
  <c r="E130" i="3"/>
  <c r="E128" i="3"/>
  <c r="G128" i="3" s="1"/>
  <c r="K128" i="3" s="1"/>
  <c r="E270" i="3"/>
  <c r="E266" i="3"/>
  <c r="E254" i="3"/>
  <c r="E250" i="3"/>
  <c r="G250" i="3" s="1"/>
  <c r="E246" i="3"/>
  <c r="E235" i="3"/>
  <c r="E226" i="3"/>
  <c r="E199" i="3"/>
  <c r="E189" i="3"/>
  <c r="E175" i="3"/>
  <c r="E170" i="3"/>
  <c r="G170" i="3"/>
  <c r="E145" i="3"/>
  <c r="G145" i="3" s="1"/>
  <c r="E143" i="3"/>
  <c r="E124" i="3"/>
  <c r="E131" i="3"/>
  <c r="G131" i="3" s="1"/>
  <c r="K131" i="3" s="1"/>
  <c r="O82" i="2"/>
  <c r="N82" i="2"/>
  <c r="D100" i="6"/>
  <c r="I102" i="6"/>
  <c r="D102" i="6"/>
  <c r="D105" i="3"/>
  <c r="S88" i="3"/>
  <c r="D88" i="3"/>
  <c r="F88" i="9"/>
  <c r="I101" i="6"/>
  <c r="D101" i="6"/>
  <c r="D89" i="9"/>
  <c r="D2" i="1"/>
  <c r="B3" i="9"/>
  <c r="C46" i="2"/>
  <c r="C47" i="2" s="1"/>
  <c r="C48" i="2" s="1"/>
  <c r="C49" i="2" s="1"/>
  <c r="C50" i="2" s="1"/>
  <c r="C51" i="2" s="1"/>
  <c r="C52" i="2" s="1"/>
  <c r="C53" i="2" s="1"/>
  <c r="C54" i="2" s="1"/>
  <c r="C55" i="2" s="1"/>
  <c r="C56" i="2" s="1"/>
  <c r="C57" i="2" s="1"/>
  <c r="C58" i="2" s="1"/>
  <c r="C59" i="2" s="1"/>
  <c r="C60" i="2" s="1"/>
  <c r="C61" i="2" s="1"/>
  <c r="C62" i="2" s="1"/>
  <c r="C63" i="2" s="1"/>
  <c r="C64" i="2" s="1"/>
  <c r="F90" i="9"/>
  <c r="D90" i="9"/>
  <c r="B7" i="2"/>
  <c r="B8" i="2"/>
  <c r="B9" i="2" s="1"/>
  <c r="B10" i="2"/>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A10" i="6"/>
  <c r="D99" i="6"/>
  <c r="I99" i="6"/>
  <c r="A11" i="6"/>
  <c r="A12" i="6" s="1"/>
  <c r="A13" i="6" s="1"/>
  <c r="S86" i="3"/>
  <c r="D83" i="3"/>
  <c r="S17" i="3"/>
  <c r="D8" i="3"/>
  <c r="F8" i="3" s="1"/>
  <c r="J8" i="3" s="1"/>
  <c r="S8" i="3"/>
  <c r="D7" i="3"/>
  <c r="I61" i="1"/>
  <c r="D124" i="3"/>
  <c r="E86" i="3"/>
  <c r="G86" i="3" s="1"/>
  <c r="K86" i="3" s="1"/>
  <c r="E90" i="3"/>
  <c r="E89" i="3"/>
  <c r="S118" i="3"/>
  <c r="E92" i="3"/>
  <c r="G92" i="3" s="1"/>
  <c r="K92" i="3" s="1"/>
  <c r="D87" i="3"/>
  <c r="S87" i="3"/>
  <c r="E88" i="3"/>
  <c r="F88" i="3" s="1"/>
  <c r="H88" i="3" s="1"/>
  <c r="L88" i="3" s="1"/>
  <c r="E106" i="3"/>
  <c r="S106" i="3"/>
  <c r="D106" i="3"/>
  <c r="F106" i="3" s="1"/>
  <c r="H106" i="3" s="1"/>
  <c r="L106" i="3" s="1"/>
  <c r="S101" i="3"/>
  <c r="U10" i="1"/>
  <c r="AB10" i="1" s="1"/>
  <c r="Z9" i="1"/>
  <c r="S76" i="3"/>
  <c r="BA7" i="3"/>
  <c r="O7" i="3" s="1"/>
  <c r="R10" i="1"/>
  <c r="D17" i="3"/>
  <c r="D24" i="3"/>
  <c r="D82" i="3"/>
  <c r="S75" i="3"/>
  <c r="S85" i="3"/>
  <c r="D85" i="3"/>
  <c r="E87" i="3"/>
  <c r="F87" i="3" s="1"/>
  <c r="E84" i="3"/>
  <c r="G84" i="3" s="1"/>
  <c r="K84" i="3" s="1"/>
  <c r="AB9" i="1"/>
  <c r="B60" i="3"/>
  <c r="Q62" i="1"/>
  <c r="I62" i="1"/>
  <c r="B61" i="3"/>
  <c r="Q63" i="1"/>
  <c r="I63" i="1"/>
  <c r="Q64" i="1"/>
  <c r="I64" i="1"/>
  <c r="B62" i="3"/>
  <c r="D62" i="3"/>
  <c r="Q65" i="1"/>
  <c r="B63" i="3"/>
  <c r="S63" i="3" s="1"/>
  <c r="I65" i="1"/>
  <c r="B64" i="3"/>
  <c r="S64" i="3" s="1"/>
  <c r="D64" i="3"/>
  <c r="I66" i="1"/>
  <c r="Q66" i="1"/>
  <c r="I68" i="1"/>
  <c r="I67" i="1"/>
  <c r="B65" i="3"/>
  <c r="D65" i="3" s="1"/>
  <c r="Q67" i="1"/>
  <c r="D142" i="3"/>
  <c r="E142" i="3"/>
  <c r="F142" i="3" s="1"/>
  <c r="J142" i="3" s="1"/>
  <c r="S142" i="3"/>
  <c r="E136" i="3"/>
  <c r="S136" i="3"/>
  <c r="D136" i="3"/>
  <c r="D193" i="3"/>
  <c r="S193" i="3"/>
  <c r="E193" i="3"/>
  <c r="G193" i="3" s="1"/>
  <c r="D178" i="3"/>
  <c r="E178" i="3"/>
  <c r="F178" i="3" s="1"/>
  <c r="E163" i="3"/>
  <c r="G163" i="3" s="1"/>
  <c r="S163" i="3"/>
  <c r="E127" i="3"/>
  <c r="S107" i="3"/>
  <c r="D107" i="3"/>
  <c r="S98" i="3"/>
  <c r="D98" i="3"/>
  <c r="E91" i="3"/>
  <c r="D91" i="3"/>
  <c r="S91" i="3"/>
  <c r="E194" i="3"/>
  <c r="D194" i="3"/>
  <c r="S194" i="3"/>
  <c r="S178" i="3"/>
  <c r="S152" i="3"/>
  <c r="D152" i="3"/>
  <c r="E152" i="3"/>
  <c r="G152" i="3" s="1"/>
  <c r="I152" i="3" s="1"/>
  <c r="M152" i="3" s="1"/>
  <c r="E139" i="3"/>
  <c r="S139" i="3"/>
  <c r="S102" i="3"/>
  <c r="D102" i="3"/>
  <c r="D93" i="3"/>
  <c r="S93" i="3"/>
  <c r="S176" i="3"/>
  <c r="D176" i="3"/>
  <c r="E176" i="3"/>
  <c r="D162" i="3"/>
  <c r="S162" i="3"/>
  <c r="E162" i="3"/>
  <c r="G162" i="3" s="1"/>
  <c r="I162" i="3" s="1"/>
  <c r="M162" i="3" s="1"/>
  <c r="D97" i="3"/>
  <c r="D168" i="3"/>
  <c r="E168" i="3"/>
  <c r="S167" i="3"/>
  <c r="E167" i="3"/>
  <c r="F167" i="3"/>
  <c r="S144" i="3"/>
  <c r="D144" i="3"/>
  <c r="E144" i="3"/>
  <c r="D132" i="3"/>
  <c r="E132" i="3"/>
  <c r="S103" i="3"/>
  <c r="D103" i="3"/>
  <c r="D96" i="3"/>
  <c r="S96" i="3"/>
  <c r="S95" i="3"/>
  <c r="D95" i="3"/>
  <c r="E138" i="3"/>
  <c r="F138" i="3" s="1"/>
  <c r="D188" i="3"/>
  <c r="G188" i="3" s="1"/>
  <c r="E197" i="3"/>
  <c r="G197" i="3" s="1"/>
  <c r="E181" i="3"/>
  <c r="F181" i="3"/>
  <c r="H181" i="3" s="1"/>
  <c r="E161" i="3"/>
  <c r="E115" i="3"/>
  <c r="E116" i="3"/>
  <c r="G116" i="3"/>
  <c r="E117" i="3"/>
  <c r="G117" i="3" s="1"/>
  <c r="S120" i="3"/>
  <c r="E120" i="3"/>
  <c r="D120" i="3"/>
  <c r="F120" i="3" s="1"/>
  <c r="J120" i="3" s="1"/>
  <c r="E107" i="3"/>
  <c r="F107" i="3" s="1"/>
  <c r="H107" i="3" s="1"/>
  <c r="L107" i="3" s="1"/>
  <c r="E112" i="3"/>
  <c r="E98" i="3"/>
  <c r="F98" i="3"/>
  <c r="H98" i="3" s="1"/>
  <c r="L98" i="3" s="1"/>
  <c r="E93" i="3"/>
  <c r="D118" i="3"/>
  <c r="E118" i="3"/>
  <c r="D113" i="3"/>
  <c r="E113" i="3"/>
  <c r="G113" i="3" s="1"/>
  <c r="D111" i="3"/>
  <c r="E111" i="3"/>
  <c r="S111" i="3"/>
  <c r="E95" i="3"/>
  <c r="E94" i="3"/>
  <c r="S94" i="3"/>
  <c r="E96" i="3"/>
  <c r="F96" i="3" s="1"/>
  <c r="E99" i="3"/>
  <c r="D94" i="3"/>
  <c r="G94" i="3" s="1"/>
  <c r="E123" i="3"/>
  <c r="D123" i="3"/>
  <c r="E119" i="3"/>
  <c r="E97" i="3"/>
  <c r="G97" i="3" s="1"/>
  <c r="E103" i="3"/>
  <c r="F103" i="3"/>
  <c r="E102" i="3"/>
  <c r="G102" i="3" s="1"/>
  <c r="E101" i="3"/>
  <c r="G101" i="3"/>
  <c r="E105" i="3"/>
  <c r="G105" i="3" s="1"/>
  <c r="I105" i="3" s="1"/>
  <c r="M105" i="3" s="1"/>
  <c r="E122" i="3"/>
  <c r="G122" i="3" s="1"/>
  <c r="S109" i="3"/>
  <c r="E109" i="3"/>
  <c r="D109" i="3"/>
  <c r="E108" i="3"/>
  <c r="D100" i="3"/>
  <c r="E121" i="3"/>
  <c r="D114" i="3"/>
  <c r="E114" i="3"/>
  <c r="S79" i="3"/>
  <c r="R11" i="1"/>
  <c r="R12" i="1" s="1"/>
  <c r="BA10" i="3" s="1"/>
  <c r="BA8" i="3"/>
  <c r="S73" i="3"/>
  <c r="T10" i="1"/>
  <c r="Y9" i="1"/>
  <c r="AA9" i="1"/>
  <c r="BC7" i="3"/>
  <c r="Q7" i="3" s="1"/>
  <c r="D9" i="3"/>
  <c r="S9" i="3"/>
  <c r="U11" i="1"/>
  <c r="BD9" i="3" s="1"/>
  <c r="BD8" i="3"/>
  <c r="D27" i="3"/>
  <c r="U2" i="3"/>
  <c r="D14" i="3"/>
  <c r="AA10" i="1"/>
  <c r="D77" i="3"/>
  <c r="D68" i="3"/>
  <c r="S49" i="3"/>
  <c r="D42" i="3"/>
  <c r="D33" i="3"/>
  <c r="S46" i="3"/>
  <c r="S51" i="3"/>
  <c r="S38" i="3"/>
  <c r="D58" i="3"/>
  <c r="D44" i="3"/>
  <c r="S69" i="3"/>
  <c r="D19" i="3"/>
  <c r="S32" i="3"/>
  <c r="D70" i="3"/>
  <c r="S53" i="3"/>
  <c r="S65" i="3"/>
  <c r="S34" i="3"/>
  <c r="G181" i="3"/>
  <c r="H256" i="3"/>
  <c r="L256" i="3" s="1"/>
  <c r="F207" i="3"/>
  <c r="J207" i="3" s="1"/>
  <c r="G98" i="3"/>
  <c r="K98" i="3" s="1"/>
  <c r="G150" i="3"/>
  <c r="K150" i="3" s="1"/>
  <c r="G173" i="3"/>
  <c r="K173" i="3" s="1"/>
  <c r="F151" i="3"/>
  <c r="J151" i="3" s="1"/>
  <c r="J150" i="3"/>
  <c r="S39" i="3"/>
  <c r="F116" i="3"/>
  <c r="J116" i="3" s="1"/>
  <c r="D67" i="3"/>
  <c r="S43" i="3"/>
  <c r="S29" i="3"/>
  <c r="S18" i="3"/>
  <c r="G167" i="3"/>
  <c r="F235" i="3"/>
  <c r="H235" i="3" s="1"/>
  <c r="L235" i="3" s="1"/>
  <c r="F164" i="3"/>
  <c r="J164" i="3" s="1"/>
  <c r="H164" i="3"/>
  <c r="L164" i="3" s="1"/>
  <c r="F155" i="3"/>
  <c r="H155" i="3" s="1"/>
  <c r="L155" i="3" s="1"/>
  <c r="F113" i="3"/>
  <c r="H113" i="3" s="1"/>
  <c r="L113" i="3" s="1"/>
  <c r="S12" i="3"/>
  <c r="F101" i="3"/>
  <c r="H101" i="3" s="1"/>
  <c r="L101" i="3" s="1"/>
  <c r="I155" i="3"/>
  <c r="M155" i="3" s="1"/>
  <c r="G196" i="3"/>
  <c r="K196" i="3" s="1"/>
  <c r="F228" i="3"/>
  <c r="H228" i="3" s="1"/>
  <c r="L228" i="3" s="1"/>
  <c r="S54" i="3"/>
  <c r="S62" i="3"/>
  <c r="S23" i="3"/>
  <c r="S28" i="3"/>
  <c r="D45" i="3"/>
  <c r="S74" i="3"/>
  <c r="D48" i="3"/>
  <c r="S26" i="3"/>
  <c r="S25" i="3"/>
  <c r="D40" i="3"/>
  <c r="S40" i="3"/>
  <c r="S52" i="3"/>
  <c r="D52" i="3"/>
  <c r="S13" i="3"/>
  <c r="D13" i="3"/>
  <c r="D66" i="3"/>
  <c r="S31" i="3"/>
  <c r="S61" i="3"/>
  <c r="D61" i="3"/>
  <c r="F232" i="3"/>
  <c r="G232" i="3"/>
  <c r="K232" i="3"/>
  <c r="G141" i="3"/>
  <c r="K141" i="3" s="1"/>
  <c r="F191" i="3"/>
  <c r="J191" i="3" s="1"/>
  <c r="G223" i="3"/>
  <c r="U223" i="3" s="1"/>
  <c r="S47" i="3"/>
  <c r="D47" i="3"/>
  <c r="D20" i="3"/>
  <c r="S20" i="3"/>
  <c r="S16" i="3"/>
  <c r="D16" i="3"/>
  <c r="F93" i="3"/>
  <c r="G93" i="3"/>
  <c r="G175" i="3"/>
  <c r="G178" i="3"/>
  <c r="K178" i="3" s="1"/>
  <c r="F266" i="3"/>
  <c r="J266" i="3" s="1"/>
  <c r="G266" i="3"/>
  <c r="K266" i="3" s="1"/>
  <c r="F171" i="3"/>
  <c r="J171" i="3" s="1"/>
  <c r="G171" i="3"/>
  <c r="S72" i="3"/>
  <c r="D72" i="3"/>
  <c r="D22" i="3"/>
  <c r="S22" i="3"/>
  <c r="K251" i="3"/>
  <c r="G142" i="3"/>
  <c r="I142" i="3" s="1"/>
  <c r="M142" i="3" s="1"/>
  <c r="G254" i="3"/>
  <c r="I254" i="3" s="1"/>
  <c r="M254" i="3" s="1"/>
  <c r="H142" i="3"/>
  <c r="L142" i="3" s="1"/>
  <c r="F202" i="3"/>
  <c r="G202" i="3"/>
  <c r="U202" i="3" s="1"/>
  <c r="G103" i="3"/>
  <c r="I103" i="3" s="1"/>
  <c r="F94" i="3"/>
  <c r="H94" i="3" s="1"/>
  <c r="L94" i="3" s="1"/>
  <c r="F122" i="3"/>
  <c r="H122" i="3"/>
  <c r="L122" i="3" s="1"/>
  <c r="F241" i="3"/>
  <c r="H241" i="3" s="1"/>
  <c r="L241" i="3" s="1"/>
  <c r="F217" i="3"/>
  <c r="I86" i="3"/>
  <c r="M86" i="3"/>
  <c r="F134" i="3"/>
  <c r="K134" i="3"/>
  <c r="F169" i="3"/>
  <c r="G169" i="3"/>
  <c r="I169" i="3" s="1"/>
  <c r="M169" i="3" s="1"/>
  <c r="P3" i="6"/>
  <c r="L2" i="6"/>
  <c r="F225" i="3"/>
  <c r="G225" i="3"/>
  <c r="F86" i="3"/>
  <c r="J86" i="3" s="1"/>
  <c r="G133" i="3"/>
  <c r="K133" i="3" s="1"/>
  <c r="F133" i="3"/>
  <c r="H133" i="3"/>
  <c r="L133" i="3" s="1"/>
  <c r="F219" i="3"/>
  <c r="H219" i="3" s="1"/>
  <c r="L219" i="3" s="1"/>
  <c r="G219" i="3"/>
  <c r="K219" i="3" s="1"/>
  <c r="F140" i="3"/>
  <c r="H140" i="3" s="1"/>
  <c r="L140" i="3"/>
  <c r="K162" i="3"/>
  <c r="J98" i="3"/>
  <c r="F261" i="3"/>
  <c r="G261" i="3"/>
  <c r="I261" i="3" s="1"/>
  <c r="M261" i="3" s="1"/>
  <c r="I145" i="3"/>
  <c r="M145" i="3" s="1"/>
  <c r="K228" i="3"/>
  <c r="G120" i="3"/>
  <c r="I120" i="3" s="1"/>
  <c r="I217" i="3"/>
  <c r="M217" i="3" s="1"/>
  <c r="G174" i="3"/>
  <c r="K174" i="3" s="1"/>
  <c r="F170" i="3"/>
  <c r="H170" i="3" s="1"/>
  <c r="L170" i="3" s="1"/>
  <c r="F145" i="3"/>
  <c r="F89" i="3"/>
  <c r="J89" i="3" s="1"/>
  <c r="G89" i="3"/>
  <c r="K89" i="3" s="1"/>
  <c r="G240" i="3"/>
  <c r="K240" i="3" s="1"/>
  <c r="F240" i="3"/>
  <c r="G237" i="3"/>
  <c r="E57" i="3"/>
  <c r="E26" i="3"/>
  <c r="G26" i="3"/>
  <c r="I26" i="3" s="1"/>
  <c r="M26" i="3" s="1"/>
  <c r="G124" i="3"/>
  <c r="K124" i="3" s="1"/>
  <c r="F124" i="3"/>
  <c r="H124" i="3" s="1"/>
  <c r="L124" i="3" s="1"/>
  <c r="G274" i="3"/>
  <c r="F274" i="3"/>
  <c r="J274" i="3" s="1"/>
  <c r="F118" i="3"/>
  <c r="F163" i="3"/>
  <c r="H163" i="3" s="1"/>
  <c r="L163" i="3" s="1"/>
  <c r="G218" i="3"/>
  <c r="K218" i="3" s="1"/>
  <c r="J181" i="3"/>
  <c r="L181" i="3"/>
  <c r="G172" i="3"/>
  <c r="I172" i="3" s="1"/>
  <c r="M172" i="3" s="1"/>
  <c r="D41" i="3"/>
  <c r="S41" i="3"/>
  <c r="E30" i="3"/>
  <c r="G30" i="3"/>
  <c r="S15" i="3"/>
  <c r="D15" i="3"/>
  <c r="D59" i="3"/>
  <c r="S59" i="3"/>
  <c r="S30" i="3"/>
  <c r="E13" i="3"/>
  <c r="G13" i="3" s="1"/>
  <c r="F176" i="3"/>
  <c r="J176" i="3" s="1"/>
  <c r="S57" i="3"/>
  <c r="D57" i="3"/>
  <c r="S55" i="3"/>
  <c r="D55" i="3"/>
  <c r="S71" i="3"/>
  <c r="D71" i="3"/>
  <c r="S21" i="3"/>
  <c r="D21" i="3"/>
  <c r="D50" i="3"/>
  <c r="S50" i="3"/>
  <c r="D37" i="3"/>
  <c r="S37" i="3"/>
  <c r="S35" i="3"/>
  <c r="D35" i="3"/>
  <c r="F117" i="3"/>
  <c r="H117" i="3" s="1"/>
  <c r="L117" i="3" s="1"/>
  <c r="K151" i="3"/>
  <c r="I151" i="3"/>
  <c r="M151" i="3" s="1"/>
  <c r="E34" i="3"/>
  <c r="G34" i="3" s="1"/>
  <c r="K34" i="3" s="1"/>
  <c r="E53" i="3"/>
  <c r="F53" i="3" s="1"/>
  <c r="H53" i="3" s="1"/>
  <c r="E58" i="3"/>
  <c r="G58" i="3" s="1"/>
  <c r="E17" i="3"/>
  <c r="E71" i="3"/>
  <c r="E22" i="3"/>
  <c r="F22" i="3" s="1"/>
  <c r="F143" i="3"/>
  <c r="J143" i="3" s="1"/>
  <c r="G143" i="3"/>
  <c r="K143" i="3" s="1"/>
  <c r="F146" i="3"/>
  <c r="J146" i="3" s="1"/>
  <c r="F166" i="3"/>
  <c r="H166" i="3" s="1"/>
  <c r="L166" i="3" s="1"/>
  <c r="G166" i="3"/>
  <c r="I166" i="3" s="1"/>
  <c r="M166" i="3" s="1"/>
  <c r="F180" i="3"/>
  <c r="H180" i="3" s="1"/>
  <c r="L180" i="3" s="1"/>
  <c r="F152" i="3"/>
  <c r="J152" i="3" s="1"/>
  <c r="F131" i="3"/>
  <c r="J131" i="3" s="1"/>
  <c r="F247" i="3"/>
  <c r="G247" i="3"/>
  <c r="K247" i="3" s="1"/>
  <c r="F7" i="3"/>
  <c r="U150" i="3"/>
  <c r="H207" i="3"/>
  <c r="L207" i="3" s="1"/>
  <c r="H151" i="3"/>
  <c r="L151" i="3" s="1"/>
  <c r="I181" i="3"/>
  <c r="M181" i="3" s="1"/>
  <c r="J235" i="3"/>
  <c r="U151" i="3"/>
  <c r="U167" i="3"/>
  <c r="G57" i="3"/>
  <c r="I134" i="3"/>
  <c r="M134" i="3" s="1"/>
  <c r="U133" i="3"/>
  <c r="F30" i="3"/>
  <c r="F26" i="3"/>
  <c r="J26" i="3" s="1"/>
  <c r="J133" i="3"/>
  <c r="J140" i="3"/>
  <c r="M103" i="3"/>
  <c r="H89" i="3"/>
  <c r="L89" i="3" s="1"/>
  <c r="J122" i="3"/>
  <c r="U134" i="3"/>
  <c r="H191" i="3"/>
  <c r="L191" i="3" s="1"/>
  <c r="H86" i="3"/>
  <c r="L86" i="3" s="1"/>
  <c r="K223" i="3"/>
  <c r="I232" i="3"/>
  <c r="M232" i="3" s="1"/>
  <c r="U240" i="3"/>
  <c r="K142" i="3"/>
  <c r="J93" i="3"/>
  <c r="H93" i="3"/>
  <c r="L93" i="3" s="1"/>
  <c r="H223" i="3"/>
  <c r="L223" i="3" s="1"/>
  <c r="J223" i="3"/>
  <c r="J232" i="3"/>
  <c r="J202" i="3"/>
  <c r="H202" i="3"/>
  <c r="L202" i="3" s="1"/>
  <c r="J124" i="3"/>
  <c r="J219" i="3"/>
  <c r="I133" i="3"/>
  <c r="M133" i="3" s="1"/>
  <c r="J106" i="3"/>
  <c r="K225" i="3"/>
  <c r="J134" i="3"/>
  <c r="H134" i="3"/>
  <c r="L134" i="3" s="1"/>
  <c r="I218" i="3"/>
  <c r="M218" i="3" s="1"/>
  <c r="H261" i="3"/>
  <c r="L261" i="3" s="1"/>
  <c r="H274" i="3"/>
  <c r="L274" i="3" s="1"/>
  <c r="I240" i="3"/>
  <c r="M240" i="3"/>
  <c r="K274" i="3"/>
  <c r="I274" i="3"/>
  <c r="M274" i="3" s="1"/>
  <c r="I124" i="3"/>
  <c r="M124" i="3" s="1"/>
  <c r="K237" i="3"/>
  <c r="I174" i="3"/>
  <c r="M174" i="3" s="1"/>
  <c r="H237" i="3"/>
  <c r="L237" i="3" s="1"/>
  <c r="H145" i="3"/>
  <c r="L145" i="3" s="1"/>
  <c r="J145" i="3"/>
  <c r="K120" i="3"/>
  <c r="M120" i="3"/>
  <c r="U120" i="3"/>
  <c r="K261" i="3"/>
  <c r="F13" i="3"/>
  <c r="H176" i="3"/>
  <c r="L176" i="3" s="1"/>
  <c r="K172" i="3"/>
  <c r="I143" i="3"/>
  <c r="M143" i="3" s="1"/>
  <c r="I30" i="3"/>
  <c r="M30" i="3" s="1"/>
  <c r="J247" i="3"/>
  <c r="K152" i="3"/>
  <c r="U180" i="3"/>
  <c r="I180" i="3"/>
  <c r="M180" i="3"/>
  <c r="F58" i="3"/>
  <c r="K26" i="3"/>
  <c r="J7" i="3"/>
  <c r="H7" i="3"/>
  <c r="L7" i="3" s="1"/>
  <c r="I247" i="3"/>
  <c r="M247" i="3" s="1"/>
  <c r="H131" i="3"/>
  <c r="L131" i="3" s="1"/>
  <c r="K166" i="3"/>
  <c r="U166" i="3"/>
  <c r="J166" i="3"/>
  <c r="G71" i="3"/>
  <c r="I71" i="3" s="1"/>
  <c r="M71" i="3" s="1"/>
  <c r="F71" i="3"/>
  <c r="H71" i="3" s="1"/>
  <c r="L71" i="3" s="1"/>
  <c r="F34" i="3"/>
  <c r="U26" i="3"/>
  <c r="H13" i="3"/>
  <c r="L13" i="3" s="1"/>
  <c r="J13" i="3"/>
  <c r="K71" i="3"/>
  <c r="I34" i="3"/>
  <c r="M34" i="3" s="1"/>
  <c r="L53" i="3"/>
  <c r="Y10" i="1" l="1"/>
  <c r="F144" i="3"/>
  <c r="G176" i="3"/>
  <c r="G194" i="3"/>
  <c r="K194" i="3" s="1"/>
  <c r="U163" i="3"/>
  <c r="F92" i="3"/>
  <c r="F267" i="3"/>
  <c r="G246" i="3"/>
  <c r="K246" i="3" s="1"/>
  <c r="F172" i="3"/>
  <c r="U172" i="3" s="1"/>
  <c r="F149" i="3"/>
  <c r="H149" i="3" s="1"/>
  <c r="L149" i="3" s="1"/>
  <c r="F141" i="3"/>
  <c r="F137" i="3"/>
  <c r="J137" i="3" s="1"/>
  <c r="F130" i="3"/>
  <c r="F258" i="3"/>
  <c r="K83" i="2"/>
  <c r="K10" i="2"/>
  <c r="R7" i="3"/>
  <c r="K80" i="2"/>
  <c r="I250" i="3"/>
  <c r="M250" i="3" s="1"/>
  <c r="K250" i="3"/>
  <c r="U146" i="3"/>
  <c r="K146" i="3"/>
  <c r="I146" i="3"/>
  <c r="M146" i="3" s="1"/>
  <c r="H208" i="3"/>
  <c r="L208" i="3" s="1"/>
  <c r="J208" i="3"/>
  <c r="U122" i="3"/>
  <c r="K122" i="3"/>
  <c r="I122" i="3"/>
  <c r="M122" i="3" s="1"/>
  <c r="J87" i="3"/>
  <c r="H87" i="3"/>
  <c r="L87" i="3" s="1"/>
  <c r="H110" i="3"/>
  <c r="L110" i="3" s="1"/>
  <c r="J110" i="3"/>
  <c r="J96" i="3"/>
  <c r="H96" i="3"/>
  <c r="L96" i="3" s="1"/>
  <c r="K117" i="3"/>
  <c r="I117" i="3"/>
  <c r="M117" i="3" s="1"/>
  <c r="F121" i="3"/>
  <c r="H121" i="3" s="1"/>
  <c r="L121" i="3" s="1"/>
  <c r="H146" i="3"/>
  <c r="L146" i="3" s="1"/>
  <c r="U152" i="3"/>
  <c r="J180" i="3"/>
  <c r="I246" i="3"/>
  <c r="M246" i="3" s="1"/>
  <c r="I89" i="3"/>
  <c r="M89" i="3" s="1"/>
  <c r="J163" i="3"/>
  <c r="I223" i="3"/>
  <c r="M223" i="3" s="1"/>
  <c r="I196" i="3"/>
  <c r="M196" i="3" s="1"/>
  <c r="H137" i="3"/>
  <c r="L137" i="3" s="1"/>
  <c r="J228" i="3"/>
  <c r="U173" i="3"/>
  <c r="I173" i="3"/>
  <c r="M173" i="3" s="1"/>
  <c r="J173" i="3"/>
  <c r="K105" i="3"/>
  <c r="K179" i="3"/>
  <c r="G88" i="3"/>
  <c r="K88" i="3" s="1"/>
  <c r="F179" i="3"/>
  <c r="J179" i="3" s="1"/>
  <c r="F193" i="3"/>
  <c r="F224" i="3"/>
  <c r="H224" i="3" s="1"/>
  <c r="L224" i="3" s="1"/>
  <c r="K224" i="3"/>
  <c r="G256" i="3"/>
  <c r="G96" i="3"/>
  <c r="F132" i="3"/>
  <c r="J132" i="3" s="1"/>
  <c r="F84" i="3"/>
  <c r="U84" i="3" s="1"/>
  <c r="G140" i="3"/>
  <c r="H172" i="3"/>
  <c r="L172" i="3" s="1"/>
  <c r="G111" i="3"/>
  <c r="G118" i="3"/>
  <c r="I118" i="3" s="1"/>
  <c r="M118" i="3" s="1"/>
  <c r="F250" i="3"/>
  <c r="U250" i="3" s="1"/>
  <c r="F185" i="3"/>
  <c r="J185" i="3" s="1"/>
  <c r="F192" i="3"/>
  <c r="H192" i="3" s="1"/>
  <c r="L192" i="3" s="1"/>
  <c r="G53" i="3"/>
  <c r="J117" i="3"/>
  <c r="U169" i="3"/>
  <c r="I252" i="3"/>
  <c r="M252" i="3" s="1"/>
  <c r="H26" i="3"/>
  <c r="L26" i="3" s="1"/>
  <c r="H152" i="3"/>
  <c r="L152" i="3" s="1"/>
  <c r="K169" i="3"/>
  <c r="K254" i="3"/>
  <c r="U113" i="3"/>
  <c r="U101" i="3"/>
  <c r="J101" i="3"/>
  <c r="F252" i="3"/>
  <c r="J252" i="3" s="1"/>
  <c r="F91" i="3"/>
  <c r="G208" i="3"/>
  <c r="J258" i="3"/>
  <c r="H258" i="3"/>
  <c r="L258" i="3" s="1"/>
  <c r="K57" i="3"/>
  <c r="K58" i="3"/>
  <c r="I58" i="3"/>
  <c r="M58" i="3" s="1"/>
  <c r="H58" i="3"/>
  <c r="L58" i="3" s="1"/>
  <c r="J58" i="3"/>
  <c r="U58" i="3"/>
  <c r="K94" i="3"/>
  <c r="I94" i="3"/>
  <c r="M94" i="3" s="1"/>
  <c r="U98" i="3"/>
  <c r="I98" i="3"/>
  <c r="M98" i="3" s="1"/>
  <c r="F109" i="3"/>
  <c r="G109" i="3"/>
  <c r="I102" i="3"/>
  <c r="M102" i="3" s="1"/>
  <c r="K102" i="3"/>
  <c r="S60" i="3"/>
  <c r="D60" i="3"/>
  <c r="U258" i="3"/>
  <c r="I258" i="3"/>
  <c r="M258" i="3" s="1"/>
  <c r="J141" i="3"/>
  <c r="H141" i="3"/>
  <c r="L141" i="3" s="1"/>
  <c r="H125" i="3"/>
  <c r="L125" i="3" s="1"/>
  <c r="J125" i="3"/>
  <c r="D108" i="3"/>
  <c r="F108" i="3" s="1"/>
  <c r="S108" i="3"/>
  <c r="J107" i="3"/>
  <c r="S104" i="3"/>
  <c r="E104" i="3"/>
  <c r="D104" i="3"/>
  <c r="J103" i="3"/>
  <c r="U103" i="3"/>
  <c r="K103" i="3"/>
  <c r="E100" i="3"/>
  <c r="G100" i="3" s="1"/>
  <c r="S100" i="3"/>
  <c r="D78" i="3"/>
  <c r="S78" i="3"/>
  <c r="D56" i="3"/>
  <c r="S56" i="3"/>
  <c r="X317" i="4"/>
  <c r="V317" i="4"/>
  <c r="W317" i="4"/>
  <c r="I93" i="3"/>
  <c r="M93" i="3" s="1"/>
  <c r="K93" i="3"/>
  <c r="J34" i="3"/>
  <c r="H34" i="3"/>
  <c r="L34" i="3" s="1"/>
  <c r="U93" i="3"/>
  <c r="H266" i="3"/>
  <c r="L266" i="3" s="1"/>
  <c r="U141" i="3"/>
  <c r="F246" i="3"/>
  <c r="H169" i="3"/>
  <c r="L169" i="3" s="1"/>
  <c r="J169" i="3"/>
  <c r="K167" i="3"/>
  <c r="I167" i="3"/>
  <c r="M167" i="3" s="1"/>
  <c r="G95" i="3"/>
  <c r="F95" i="3"/>
  <c r="I116" i="3"/>
  <c r="M116" i="3" s="1"/>
  <c r="K116" i="3"/>
  <c r="E244" i="3"/>
  <c r="G244" i="3" s="1"/>
  <c r="E265" i="3"/>
  <c r="H22" i="3"/>
  <c r="L22" i="3" s="1"/>
  <c r="J22" i="3"/>
  <c r="I141" i="3"/>
  <c r="M141" i="3" s="1"/>
  <c r="U155" i="3"/>
  <c r="U225" i="3"/>
  <c r="I225" i="3"/>
  <c r="M225" i="3" s="1"/>
  <c r="G149" i="3"/>
  <c r="K202" i="3"/>
  <c r="I202" i="3"/>
  <c r="M202" i="3" s="1"/>
  <c r="H171" i="3"/>
  <c r="L171" i="3" s="1"/>
  <c r="U171" i="3"/>
  <c r="G121" i="3"/>
  <c r="H193" i="3"/>
  <c r="L193" i="3" s="1"/>
  <c r="J193" i="3"/>
  <c r="F100" i="3"/>
  <c r="F105" i="3"/>
  <c r="G215" i="3"/>
  <c r="F215" i="3"/>
  <c r="F197" i="3"/>
  <c r="J192" i="3"/>
  <c r="U266" i="3"/>
  <c r="F111" i="3"/>
  <c r="H225" i="3"/>
  <c r="L225" i="3" s="1"/>
  <c r="J225" i="3"/>
  <c r="U217" i="3"/>
  <c r="H217" i="3"/>
  <c r="L217" i="3" s="1"/>
  <c r="J217" i="3"/>
  <c r="U94" i="3"/>
  <c r="J94" i="3"/>
  <c r="G108" i="3"/>
  <c r="U108" i="3" s="1"/>
  <c r="I197" i="3"/>
  <c r="M197" i="3" s="1"/>
  <c r="K197" i="3"/>
  <c r="F102" i="3"/>
  <c r="J91" i="3"/>
  <c r="H91" i="3"/>
  <c r="L91" i="3" s="1"/>
  <c r="U193" i="3"/>
  <c r="E259" i="3"/>
  <c r="S259" i="3"/>
  <c r="D259" i="3"/>
  <c r="G22" i="3"/>
  <c r="F57" i="3"/>
  <c r="G138" i="3"/>
  <c r="K175" i="3"/>
  <c r="I175" i="3"/>
  <c r="M175" i="3" s="1"/>
  <c r="I128" i="3"/>
  <c r="M128" i="3" s="1"/>
  <c r="I101" i="3"/>
  <c r="M101" i="3" s="1"/>
  <c r="K101" i="3"/>
  <c r="H103" i="3"/>
  <c r="L103" i="3" s="1"/>
  <c r="G91" i="3"/>
  <c r="K145" i="3"/>
  <c r="U145" i="3"/>
  <c r="G185" i="3"/>
  <c r="G229" i="3"/>
  <c r="E221" i="3"/>
  <c r="S221" i="3"/>
  <c r="E203" i="3"/>
  <c r="S203" i="3"/>
  <c r="D203" i="3"/>
  <c r="F203" i="3" s="1"/>
  <c r="S129" i="3"/>
  <c r="E129" i="3"/>
  <c r="D127" i="3"/>
  <c r="F127" i="3" s="1"/>
  <c r="S127" i="3"/>
  <c r="W194" i="1"/>
  <c r="W195" i="1" s="1"/>
  <c r="W196" i="1" s="1"/>
  <c r="W197" i="1" s="1"/>
  <c r="W198" i="1" s="1"/>
  <c r="W199" i="1" s="1"/>
  <c r="W200" i="1" s="1"/>
  <c r="W201" i="1" s="1"/>
  <c r="W202" i="1" s="1"/>
  <c r="W203" i="1" s="1"/>
  <c r="W204" i="1" s="1"/>
  <c r="W205" i="1" s="1"/>
  <c r="W206" i="1" s="1"/>
  <c r="W207" i="1" s="1"/>
  <c r="W208" i="1" s="1"/>
  <c r="W209" i="1" s="1"/>
  <c r="W210" i="1" s="1"/>
  <c r="W211" i="1" s="1"/>
  <c r="W212" i="1" s="1"/>
  <c r="W213" i="1" s="1"/>
  <c r="W214" i="1" s="1"/>
  <c r="W215" i="1" s="1"/>
  <c r="W216" i="1" s="1"/>
  <c r="W217" i="1" s="1"/>
  <c r="W218" i="1" s="1"/>
  <c r="W219" i="1" s="1"/>
  <c r="W220" i="1" s="1"/>
  <c r="W221" i="1" s="1"/>
  <c r="W222" i="1" s="1"/>
  <c r="W223" i="1" s="1"/>
  <c r="W224" i="1" s="1"/>
  <c r="W225" i="1" s="1"/>
  <c r="W226" i="1" s="1"/>
  <c r="W227" i="1" s="1"/>
  <c r="W228" i="1" s="1"/>
  <c r="W229" i="1" s="1"/>
  <c r="W230" i="1" s="1"/>
  <c r="W231" i="1" s="1"/>
  <c r="W232" i="1" s="1"/>
  <c r="W233" i="1" s="1"/>
  <c r="W234" i="1" s="1"/>
  <c r="W235" i="1" s="1"/>
  <c r="W236" i="1" s="1"/>
  <c r="W237" i="1" s="1"/>
  <c r="W238" i="1" s="1"/>
  <c r="W239" i="1" s="1"/>
  <c r="W240" i="1" s="1"/>
  <c r="W241" i="1" s="1"/>
  <c r="W242" i="1" s="1"/>
  <c r="W243" i="1" s="1"/>
  <c r="W244" i="1" s="1"/>
  <c r="W245" i="1" s="1"/>
  <c r="W246" i="1" s="1"/>
  <c r="W247" i="1" s="1"/>
  <c r="W248" i="1" s="1"/>
  <c r="W249" i="1" s="1"/>
  <c r="W250" i="1" s="1"/>
  <c r="W251" i="1" s="1"/>
  <c r="W252" i="1" s="1"/>
  <c r="W253" i="1" s="1"/>
  <c r="W254" i="1" s="1"/>
  <c r="W255" i="1" s="1"/>
  <c r="W256" i="1" s="1"/>
  <c r="W257" i="1" s="1"/>
  <c r="W258" i="1" s="1"/>
  <c r="W259" i="1" s="1"/>
  <c r="W260" i="1" s="1"/>
  <c r="W261" i="1" s="1"/>
  <c r="W262" i="1" s="1"/>
  <c r="W263" i="1" s="1"/>
  <c r="W264" i="1" s="1"/>
  <c r="W265" i="1" s="1"/>
  <c r="W266" i="1" s="1"/>
  <c r="W267" i="1" s="1"/>
  <c r="W268" i="1" s="1"/>
  <c r="W269" i="1" s="1"/>
  <c r="W270" i="1" s="1"/>
  <c r="W271" i="1" s="1"/>
  <c r="W272" i="1" s="1"/>
  <c r="W273" i="1" s="1"/>
  <c r="W274" i="1" s="1"/>
  <c r="W275" i="1" s="1"/>
  <c r="W276" i="1" s="1"/>
  <c r="W277" i="1" s="1"/>
  <c r="W278" i="1" s="1"/>
  <c r="P4" i="6"/>
  <c r="B8" i="6" s="1"/>
  <c r="H138" i="3"/>
  <c r="L138" i="3" s="1"/>
  <c r="J138" i="3"/>
  <c r="K170" i="3"/>
  <c r="I170" i="3"/>
  <c r="M170" i="3" s="1"/>
  <c r="S165" i="3"/>
  <c r="D165" i="3"/>
  <c r="E165" i="3"/>
  <c r="S154" i="3"/>
  <c r="E154" i="3"/>
  <c r="G154" i="3" s="1"/>
  <c r="F162" i="3"/>
  <c r="H162" i="3" s="1"/>
  <c r="L162" i="3" s="1"/>
  <c r="I163" i="3"/>
  <c r="M163" i="3" s="1"/>
  <c r="K163" i="3"/>
  <c r="G136" i="3"/>
  <c r="F136" i="3"/>
  <c r="J136" i="3" s="1"/>
  <c r="U117" i="3"/>
  <c r="H229" i="3"/>
  <c r="L229" i="3" s="1"/>
  <c r="U140" i="3"/>
  <c r="U86" i="3"/>
  <c r="U89" i="3"/>
  <c r="I171" i="3"/>
  <c r="M171" i="3" s="1"/>
  <c r="K171" i="3"/>
  <c r="F251" i="3"/>
  <c r="G144" i="3"/>
  <c r="F97" i="3"/>
  <c r="G127" i="3"/>
  <c r="O8" i="3"/>
  <c r="G192" i="3"/>
  <c r="S262" i="3"/>
  <c r="D262" i="3"/>
  <c r="E262" i="3"/>
  <c r="G262" i="3" s="1"/>
  <c r="S245" i="3"/>
  <c r="E245" i="3"/>
  <c r="D245" i="3"/>
  <c r="S239" i="3"/>
  <c r="E239" i="3"/>
  <c r="G239" i="3" s="1"/>
  <c r="E234" i="3"/>
  <c r="D234" i="3"/>
  <c r="E227" i="3"/>
  <c r="D227" i="3"/>
  <c r="S211" i="3"/>
  <c r="E211" i="3"/>
  <c r="D211" i="3"/>
  <c r="F211" i="3" s="1"/>
  <c r="J211" i="3" s="1"/>
  <c r="E205" i="3"/>
  <c r="D205" i="3"/>
  <c r="S182" i="3"/>
  <c r="D182" i="3"/>
  <c r="E182" i="3"/>
  <c r="G182" i="3" s="1"/>
  <c r="S36" i="3"/>
  <c r="D36" i="3"/>
  <c r="BB7" i="3"/>
  <c r="P7" i="3" s="1"/>
  <c r="S10" i="1"/>
  <c r="H8" i="3"/>
  <c r="L8" i="3" s="1"/>
  <c r="U232" i="3"/>
  <c r="I92" i="3"/>
  <c r="M92" i="3" s="1"/>
  <c r="G8" i="3"/>
  <c r="U181" i="3"/>
  <c r="F123" i="3"/>
  <c r="G168" i="3"/>
  <c r="K168" i="3" s="1"/>
  <c r="F194" i="3"/>
  <c r="J194" i="3" s="1"/>
  <c r="Z10" i="1"/>
  <c r="G87" i="3"/>
  <c r="F91" i="9"/>
  <c r="D213" i="3"/>
  <c r="F196" i="3"/>
  <c r="S269" i="3"/>
  <c r="D269" i="3"/>
  <c r="E269" i="3"/>
  <c r="G269" i="3" s="1"/>
  <c r="S253" i="3"/>
  <c r="D253" i="3"/>
  <c r="E243" i="3"/>
  <c r="S243" i="3"/>
  <c r="D243" i="3"/>
  <c r="E242" i="3"/>
  <c r="D242" i="3"/>
  <c r="E230" i="3"/>
  <c r="S230" i="3"/>
  <c r="D230" i="3"/>
  <c r="S209" i="3"/>
  <c r="E209" i="3"/>
  <c r="G209" i="3" s="1"/>
  <c r="S148" i="3"/>
  <c r="E148" i="3"/>
  <c r="K65" i="2"/>
  <c r="S112" i="3"/>
  <c r="D112" i="3"/>
  <c r="E257" i="3"/>
  <c r="S257" i="3"/>
  <c r="D257" i="3"/>
  <c r="S204" i="3"/>
  <c r="E204" i="3"/>
  <c r="G204" i="3" s="1"/>
  <c r="S201" i="3"/>
  <c r="D201" i="3"/>
  <c r="E201" i="3"/>
  <c r="S189" i="3"/>
  <c r="D189" i="3"/>
  <c r="S186" i="3"/>
  <c r="E186" i="3"/>
  <c r="D183" i="3"/>
  <c r="E183" i="3"/>
  <c r="G183" i="3" s="1"/>
  <c r="K183" i="3" s="1"/>
  <c r="S183" i="3"/>
  <c r="S177" i="3"/>
  <c r="E177" i="3"/>
  <c r="G177" i="3" s="1"/>
  <c r="D161" i="3"/>
  <c r="F161" i="3" s="1"/>
  <c r="J161" i="3" s="1"/>
  <c r="S161" i="3"/>
  <c r="S158" i="3"/>
  <c r="E158" i="3"/>
  <c r="P3" i="9"/>
  <c r="E3" i="9"/>
  <c r="D11" i="3"/>
  <c r="S11" i="3"/>
  <c r="G106" i="3"/>
  <c r="G235" i="3"/>
  <c r="G130" i="3"/>
  <c r="F231" i="3"/>
  <c r="F218" i="3"/>
  <c r="F175" i="3"/>
  <c r="F128" i="3"/>
  <c r="U128" i="3" s="1"/>
  <c r="D273" i="3"/>
  <c r="F273" i="3" s="1"/>
  <c r="K7" i="2"/>
  <c r="K77" i="2"/>
  <c r="K69" i="2"/>
  <c r="K61" i="2"/>
  <c r="K53" i="2"/>
  <c r="K45" i="2"/>
  <c r="K37" i="2"/>
  <c r="K29" i="2"/>
  <c r="K21" i="2"/>
  <c r="K13" i="2"/>
  <c r="G137" i="3"/>
  <c r="G110" i="3"/>
  <c r="U110" i="3" s="1"/>
  <c r="G241" i="3"/>
  <c r="G267" i="3"/>
  <c r="F174" i="3"/>
  <c r="G164" i="3"/>
  <c r="G207" i="3"/>
  <c r="S145" i="3"/>
  <c r="D99" i="3"/>
  <c r="S99" i="3"/>
  <c r="D119" i="3"/>
  <c r="G119" i="3" s="1"/>
  <c r="J30" i="3"/>
  <c r="H30" i="3"/>
  <c r="L30" i="3" s="1"/>
  <c r="U143" i="3"/>
  <c r="H143" i="3"/>
  <c r="L143" i="3" s="1"/>
  <c r="F17" i="3"/>
  <c r="G17" i="3"/>
  <c r="H8" i="6"/>
  <c r="C8" i="6"/>
  <c r="B9" i="6"/>
  <c r="U118" i="3"/>
  <c r="J118" i="3"/>
  <c r="H118" i="3"/>
  <c r="L118" i="3" s="1"/>
  <c r="U170" i="3"/>
  <c r="J170" i="3"/>
  <c r="K244" i="3"/>
  <c r="I244" i="3"/>
  <c r="M244" i="3" s="1"/>
  <c r="I219" i="3"/>
  <c r="M219" i="3" s="1"/>
  <c r="U219" i="3"/>
  <c r="U149" i="3"/>
  <c r="J149" i="3"/>
  <c r="J241" i="3"/>
  <c r="U71" i="3"/>
  <c r="J71" i="3"/>
  <c r="K13" i="3"/>
  <c r="I13" i="3"/>
  <c r="M13" i="3" s="1"/>
  <c r="K30" i="3"/>
  <c r="U30" i="3"/>
  <c r="J261" i="3"/>
  <c r="U261" i="3"/>
  <c r="U194" i="3"/>
  <c r="I194" i="3"/>
  <c r="M194" i="3" s="1"/>
  <c r="U131" i="3"/>
  <c r="I131" i="3"/>
  <c r="M131" i="3" s="1"/>
  <c r="U274" i="3"/>
  <c r="I237" i="3"/>
  <c r="M237" i="3" s="1"/>
  <c r="U237" i="3"/>
  <c r="U34" i="3"/>
  <c r="U13" i="3"/>
  <c r="J53" i="3"/>
  <c r="U53" i="3"/>
  <c r="I57" i="3"/>
  <c r="M57" i="3" s="1"/>
  <c r="U247" i="3"/>
  <c r="H247" i="3"/>
  <c r="L247" i="3" s="1"/>
  <c r="I183" i="3"/>
  <c r="M183" i="3" s="1"/>
  <c r="H240" i="3"/>
  <c r="L240" i="3" s="1"/>
  <c r="J240" i="3"/>
  <c r="I191" i="3"/>
  <c r="M191" i="3" s="1"/>
  <c r="U191" i="3"/>
  <c r="J178" i="3"/>
  <c r="H178" i="3"/>
  <c r="L178" i="3" s="1"/>
  <c r="I113" i="3"/>
  <c r="M113" i="3" s="1"/>
  <c r="K113" i="3"/>
  <c r="K188" i="3"/>
  <c r="I188" i="3"/>
  <c r="M188" i="3" s="1"/>
  <c r="F226" i="3"/>
  <c r="G226" i="3"/>
  <c r="A44" i="2"/>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R13" i="1"/>
  <c r="R8" i="3"/>
  <c r="J167" i="3"/>
  <c r="H167" i="3"/>
  <c r="L167" i="3" s="1"/>
  <c r="F168" i="3"/>
  <c r="S233" i="3"/>
  <c r="D233" i="3"/>
  <c r="E233" i="3"/>
  <c r="J172" i="3"/>
  <c r="J92" i="3"/>
  <c r="U246" i="3"/>
  <c r="I266" i="3"/>
  <c r="M266" i="3" s="1"/>
  <c r="U124" i="3"/>
  <c r="H179" i="3"/>
  <c r="L179" i="3" s="1"/>
  <c r="I84" i="3"/>
  <c r="M84" i="3" s="1"/>
  <c r="U142" i="3"/>
  <c r="I178" i="3"/>
  <c r="M178" i="3" s="1"/>
  <c r="H185" i="3"/>
  <c r="L185" i="3" s="1"/>
  <c r="U136" i="3"/>
  <c r="U224" i="3"/>
  <c r="J155" i="3"/>
  <c r="U228" i="3"/>
  <c r="J224" i="3"/>
  <c r="G231" i="3"/>
  <c r="G132" i="3"/>
  <c r="H132" i="3"/>
  <c r="L132" i="3" s="1"/>
  <c r="J88" i="3"/>
  <c r="F188" i="3"/>
  <c r="BA9" i="3"/>
  <c r="O9" i="3" s="1"/>
  <c r="T11" i="1"/>
  <c r="Z11" i="1"/>
  <c r="U12" i="1"/>
  <c r="K97" i="3"/>
  <c r="I97" i="3"/>
  <c r="M97" i="3" s="1"/>
  <c r="G123" i="3"/>
  <c r="F139" i="3"/>
  <c r="G139" i="3"/>
  <c r="H232" i="3"/>
  <c r="L232" i="3" s="1"/>
  <c r="U178" i="3"/>
  <c r="J113" i="3"/>
  <c r="U185" i="3"/>
  <c r="U116" i="3"/>
  <c r="H116" i="3"/>
  <c r="L116" i="3" s="1"/>
  <c r="U179" i="3"/>
  <c r="H136" i="3"/>
  <c r="L136" i="3" s="1"/>
  <c r="K181" i="3"/>
  <c r="I150" i="3"/>
  <c r="M150" i="3" s="1"/>
  <c r="H194" i="3"/>
  <c r="L194" i="3" s="1"/>
  <c r="AB11" i="1"/>
  <c r="BC8" i="3"/>
  <c r="Q8" i="3" s="1"/>
  <c r="G114" i="3"/>
  <c r="F114" i="3"/>
  <c r="K118" i="3"/>
  <c r="I193" i="3"/>
  <c r="M193" i="3" s="1"/>
  <c r="K193" i="3"/>
  <c r="C65" i="2"/>
  <c r="C66" i="2" s="1"/>
  <c r="C67" i="2" s="1"/>
  <c r="C68" i="2" s="1"/>
  <c r="C69" i="2" s="1"/>
  <c r="C70" i="2" s="1"/>
  <c r="C71" i="2" s="1"/>
  <c r="C72" i="2" s="1"/>
  <c r="C73" i="2" s="1"/>
  <c r="C74" i="2" s="1"/>
  <c r="C75" i="2" s="1"/>
  <c r="C76" i="2" s="1"/>
  <c r="C77" i="2" s="1"/>
  <c r="C78" i="2" s="1"/>
  <c r="C79" i="2" s="1"/>
  <c r="C80" i="2" s="1"/>
  <c r="C81" i="2" s="1"/>
  <c r="C82" i="2" s="1"/>
  <c r="C83" i="2" s="1"/>
  <c r="I95" i="3"/>
  <c r="M95" i="3" s="1"/>
  <c r="G107" i="3"/>
  <c r="H120" i="3"/>
  <c r="L120" i="3" s="1"/>
  <c r="D63" i="3"/>
  <c r="E206" i="3"/>
  <c r="S206" i="3"/>
  <c r="D206" i="3"/>
  <c r="F206" i="3" s="1"/>
  <c r="S222" i="3"/>
  <c r="E222" i="3"/>
  <c r="D222" i="3"/>
  <c r="S159" i="3"/>
  <c r="E159" i="3"/>
  <c r="D159" i="3"/>
  <c r="A14" i="6"/>
  <c r="S248" i="3"/>
  <c r="D248" i="3"/>
  <c r="E248" i="3"/>
  <c r="S190" i="3"/>
  <c r="E190" i="3"/>
  <c r="D190" i="3"/>
  <c r="E272" i="3"/>
  <c r="D272" i="3"/>
  <c r="S210" i="3"/>
  <c r="E210" i="3"/>
  <c r="S160" i="3"/>
  <c r="D160" i="3"/>
  <c r="E160" i="3"/>
  <c r="G160" i="3" s="1"/>
  <c r="E135" i="3"/>
  <c r="S135" i="3"/>
  <c r="D135" i="3"/>
  <c r="U12" i="6"/>
  <c r="E271" i="3"/>
  <c r="S271" i="3"/>
  <c r="S268" i="3"/>
  <c r="D268" i="3"/>
  <c r="F268" i="3" s="1"/>
  <c r="E263" i="3"/>
  <c r="D263" i="3"/>
  <c r="S236" i="3"/>
  <c r="D236" i="3"/>
  <c r="D212" i="3"/>
  <c r="S212" i="3"/>
  <c r="E212" i="3"/>
  <c r="G212" i="3" s="1"/>
  <c r="S199" i="3"/>
  <c r="D199" i="3"/>
  <c r="S195" i="3"/>
  <c r="D195" i="3"/>
  <c r="E195" i="3"/>
  <c r="D260" i="3"/>
  <c r="S260" i="3"/>
  <c r="E260" i="3"/>
  <c r="S216" i="3"/>
  <c r="D216" i="3"/>
  <c r="E216" i="3"/>
  <c r="S214" i="3"/>
  <c r="E214" i="3"/>
  <c r="D214" i="3"/>
  <c r="F214" i="3" s="1"/>
  <c r="S198" i="3"/>
  <c r="E198" i="3"/>
  <c r="S187" i="3"/>
  <c r="D187" i="3"/>
  <c r="E187" i="3"/>
  <c r="S184" i="3"/>
  <c r="D184" i="3"/>
  <c r="E184" i="3"/>
  <c r="G184" i="3" s="1"/>
  <c r="E147" i="3"/>
  <c r="D147" i="3"/>
  <c r="S147" i="3"/>
  <c r="A12" i="9"/>
  <c r="D265" i="3"/>
  <c r="S270" i="3"/>
  <c r="D270" i="3"/>
  <c r="S242" i="3"/>
  <c r="S232" i="3"/>
  <c r="S228" i="3"/>
  <c r="K82" i="2"/>
  <c r="G273" i="3"/>
  <c r="F254" i="3"/>
  <c r="S249" i="3"/>
  <c r="E249" i="3"/>
  <c r="S238" i="3"/>
  <c r="E238" i="3"/>
  <c r="S220" i="3"/>
  <c r="D220" i="3"/>
  <c r="E220" i="3"/>
  <c r="D200" i="3"/>
  <c r="E200" i="3"/>
  <c r="E157" i="3"/>
  <c r="S157" i="3"/>
  <c r="S153" i="3"/>
  <c r="E153" i="3"/>
  <c r="S126" i="3"/>
  <c r="E126" i="3"/>
  <c r="D126" i="3"/>
  <c r="S150" i="3"/>
  <c r="E255" i="3"/>
  <c r="E264" i="3"/>
  <c r="D156" i="3"/>
  <c r="F156" i="3" s="1"/>
  <c r="G125" i="3"/>
  <c r="D115" i="3"/>
  <c r="F115" i="3" s="1"/>
  <c r="S115" i="3"/>
  <c r="D10" i="3"/>
  <c r="S10" i="3"/>
  <c r="G7" i="3"/>
  <c r="W316" i="4"/>
  <c r="V316" i="4"/>
  <c r="X316" i="4"/>
  <c r="S275" i="3"/>
  <c r="D275" i="3"/>
  <c r="F275" i="3" s="1"/>
  <c r="S90" i="3"/>
  <c r="D90" i="3"/>
  <c r="V325" i="4"/>
  <c r="W324" i="4"/>
  <c r="W323" i="4"/>
  <c r="W322" i="4"/>
  <c r="V321" i="4"/>
  <c r="W320" i="4"/>
  <c r="W319" i="4"/>
  <c r="D279" i="3" l="1"/>
  <c r="F260" i="3"/>
  <c r="F201" i="3"/>
  <c r="G257" i="3"/>
  <c r="G230" i="3"/>
  <c r="G243" i="3"/>
  <c r="G205" i="3"/>
  <c r="I205" i="3" s="1"/>
  <c r="M205" i="3" s="1"/>
  <c r="G234" i="3"/>
  <c r="G245" i="3"/>
  <c r="F165" i="3"/>
  <c r="G259" i="3"/>
  <c r="J130" i="3"/>
  <c r="H130" i="3"/>
  <c r="L130" i="3" s="1"/>
  <c r="J267" i="3"/>
  <c r="H267" i="3"/>
  <c r="L267" i="3" s="1"/>
  <c r="U92" i="3"/>
  <c r="H92" i="3"/>
  <c r="L92" i="3" s="1"/>
  <c r="I176" i="3"/>
  <c r="M176" i="3" s="1"/>
  <c r="U176" i="3"/>
  <c r="K176" i="3"/>
  <c r="J144" i="3"/>
  <c r="H144" i="3"/>
  <c r="L144" i="3" s="1"/>
  <c r="K111" i="3"/>
  <c r="I111" i="3"/>
  <c r="M111" i="3" s="1"/>
  <c r="U252" i="3"/>
  <c r="I53" i="3"/>
  <c r="M53" i="3" s="1"/>
  <c r="K53" i="3"/>
  <c r="H161" i="3"/>
  <c r="L161" i="3" s="1"/>
  <c r="I168" i="3"/>
  <c r="M168" i="3" s="1"/>
  <c r="U121" i="3"/>
  <c r="F272" i="3"/>
  <c r="F222" i="3"/>
  <c r="J121" i="3"/>
  <c r="H211" i="3"/>
  <c r="L211" i="3" s="1"/>
  <c r="U88" i="3"/>
  <c r="H252" i="3"/>
  <c r="L252" i="3" s="1"/>
  <c r="H84" i="3"/>
  <c r="L84" i="3" s="1"/>
  <c r="I88" i="3"/>
  <c r="M88" i="3" s="1"/>
  <c r="I208" i="3"/>
  <c r="M208" i="3" s="1"/>
  <c r="U208" i="3"/>
  <c r="K208" i="3"/>
  <c r="K96" i="3"/>
  <c r="I96" i="3"/>
  <c r="M96" i="3" s="1"/>
  <c r="U96" i="3"/>
  <c r="F126" i="3"/>
  <c r="F263" i="3"/>
  <c r="J263" i="3" s="1"/>
  <c r="F159" i="3"/>
  <c r="F227" i="3"/>
  <c r="U192" i="3"/>
  <c r="J84" i="3"/>
  <c r="J250" i="3"/>
  <c r="H250" i="3"/>
  <c r="L250" i="3" s="1"/>
  <c r="I140" i="3"/>
  <c r="M140" i="3" s="1"/>
  <c r="K140" i="3"/>
  <c r="U256" i="3"/>
  <c r="I256" i="3"/>
  <c r="M256" i="3" s="1"/>
  <c r="K256" i="3"/>
  <c r="I267" i="3"/>
  <c r="M267" i="3" s="1"/>
  <c r="K267" i="3"/>
  <c r="U267" i="3"/>
  <c r="H175" i="3"/>
  <c r="L175" i="3" s="1"/>
  <c r="U175" i="3"/>
  <c r="J175" i="3"/>
  <c r="K235" i="3"/>
  <c r="I235" i="3"/>
  <c r="M235" i="3" s="1"/>
  <c r="U235" i="3"/>
  <c r="J201" i="3"/>
  <c r="H201" i="3"/>
  <c r="L201" i="3" s="1"/>
  <c r="F257" i="3"/>
  <c r="G112" i="3"/>
  <c r="F112" i="3"/>
  <c r="F243" i="3"/>
  <c r="H196" i="3"/>
  <c r="L196" i="3" s="1"/>
  <c r="J196" i="3"/>
  <c r="U196" i="3"/>
  <c r="F205" i="3"/>
  <c r="K234" i="3"/>
  <c r="I234" i="3"/>
  <c r="M234" i="3" s="1"/>
  <c r="I245" i="3"/>
  <c r="M245" i="3" s="1"/>
  <c r="K245" i="3"/>
  <c r="H97" i="3"/>
  <c r="L97" i="3" s="1"/>
  <c r="J97" i="3"/>
  <c r="J251" i="3"/>
  <c r="H251" i="3"/>
  <c r="L251" i="3" s="1"/>
  <c r="U251" i="3"/>
  <c r="U162" i="3"/>
  <c r="J162" i="3"/>
  <c r="J165" i="3"/>
  <c r="H165" i="3"/>
  <c r="L165" i="3" s="1"/>
  <c r="B4" i="6"/>
  <c r="D8" i="6"/>
  <c r="I8" i="6"/>
  <c r="J8" i="6" s="1"/>
  <c r="K8" i="6" s="1"/>
  <c r="L8" i="6"/>
  <c r="G129" i="3"/>
  <c r="F129" i="3"/>
  <c r="G203" i="3"/>
  <c r="I185" i="3"/>
  <c r="M185" i="3" s="1"/>
  <c r="K185" i="3"/>
  <c r="U91" i="3"/>
  <c r="I91" i="3"/>
  <c r="M91" i="3" s="1"/>
  <c r="K91" i="3"/>
  <c r="U138" i="3"/>
  <c r="K138" i="3"/>
  <c r="I138" i="3"/>
  <c r="M138" i="3" s="1"/>
  <c r="J111" i="3"/>
  <c r="H111" i="3"/>
  <c r="L111" i="3" s="1"/>
  <c r="J215" i="3"/>
  <c r="H215" i="3"/>
  <c r="L215" i="3" s="1"/>
  <c r="F119" i="3"/>
  <c r="J109" i="3"/>
  <c r="H109" i="3"/>
  <c r="L109" i="3" s="1"/>
  <c r="F216" i="3"/>
  <c r="F195" i="3"/>
  <c r="J195" i="3" s="1"/>
  <c r="I119" i="3"/>
  <c r="M119" i="3" s="1"/>
  <c r="K119" i="3"/>
  <c r="K207" i="3"/>
  <c r="I207" i="3"/>
  <c r="M207" i="3" s="1"/>
  <c r="U207" i="3"/>
  <c r="K241" i="3"/>
  <c r="I241" i="3"/>
  <c r="M241" i="3" s="1"/>
  <c r="H218" i="3"/>
  <c r="L218" i="3" s="1"/>
  <c r="J218" i="3"/>
  <c r="U218" i="3"/>
  <c r="I106" i="3"/>
  <c r="M106" i="3" s="1"/>
  <c r="K106" i="3"/>
  <c r="U106" i="3"/>
  <c r="F189" i="3"/>
  <c r="G189" i="3"/>
  <c r="I209" i="3"/>
  <c r="M209" i="3" s="1"/>
  <c r="K209" i="3"/>
  <c r="K230" i="3"/>
  <c r="I230" i="3"/>
  <c r="M230" i="3" s="1"/>
  <c r="I269" i="3"/>
  <c r="M269" i="3" s="1"/>
  <c r="K269" i="3"/>
  <c r="G213" i="3"/>
  <c r="F213" i="3"/>
  <c r="U8" i="3"/>
  <c r="I8" i="3"/>
  <c r="M8" i="3" s="1"/>
  <c r="K8" i="3"/>
  <c r="S11" i="1"/>
  <c r="BB8" i="3"/>
  <c r="P8" i="3" s="1"/>
  <c r="K182" i="3"/>
  <c r="I182" i="3"/>
  <c r="M182" i="3" s="1"/>
  <c r="U205" i="3"/>
  <c r="K205" i="3"/>
  <c r="J227" i="3"/>
  <c r="H227" i="3"/>
  <c r="L227" i="3" s="1"/>
  <c r="K239" i="3"/>
  <c r="I239" i="3"/>
  <c r="M239" i="3" s="1"/>
  <c r="K192" i="3"/>
  <c r="I192" i="3"/>
  <c r="M192" i="3" s="1"/>
  <c r="I144" i="3"/>
  <c r="M144" i="3" s="1"/>
  <c r="U144" i="3"/>
  <c r="K144" i="3"/>
  <c r="K136" i="3"/>
  <c r="I136" i="3"/>
  <c r="M136" i="3" s="1"/>
  <c r="K154" i="3"/>
  <c r="I154" i="3"/>
  <c r="M154" i="3" s="1"/>
  <c r="J57" i="3"/>
  <c r="H57" i="3"/>
  <c r="L57" i="3" s="1"/>
  <c r="J197" i="3"/>
  <c r="H197" i="3"/>
  <c r="L197" i="3" s="1"/>
  <c r="U215" i="3"/>
  <c r="K215" i="3"/>
  <c r="I215" i="3"/>
  <c r="M215" i="3" s="1"/>
  <c r="J95" i="3"/>
  <c r="H95" i="3"/>
  <c r="L95" i="3" s="1"/>
  <c r="I100" i="3"/>
  <c r="M100" i="3" s="1"/>
  <c r="K100" i="3"/>
  <c r="U100" i="3"/>
  <c r="U57" i="3"/>
  <c r="F220" i="3"/>
  <c r="U241" i="3"/>
  <c r="I164" i="3"/>
  <c r="M164" i="3" s="1"/>
  <c r="U164" i="3"/>
  <c r="K164" i="3"/>
  <c r="I110" i="3"/>
  <c r="M110" i="3" s="1"/>
  <c r="K110" i="3"/>
  <c r="J273" i="3"/>
  <c r="H273" i="3"/>
  <c r="L273" i="3" s="1"/>
  <c r="H231" i="3"/>
  <c r="L231" i="3" s="1"/>
  <c r="J231" i="3"/>
  <c r="G158" i="3"/>
  <c r="F158" i="3"/>
  <c r="I177" i="3"/>
  <c r="M177" i="3" s="1"/>
  <c r="K177" i="3"/>
  <c r="F183" i="3"/>
  <c r="K204" i="3"/>
  <c r="I204" i="3"/>
  <c r="M204" i="3" s="1"/>
  <c r="K257" i="3"/>
  <c r="U257" i="3"/>
  <c r="I257" i="3"/>
  <c r="M257" i="3" s="1"/>
  <c r="G242" i="3"/>
  <c r="F242" i="3"/>
  <c r="U243" i="3"/>
  <c r="K243" i="3"/>
  <c r="I243" i="3"/>
  <c r="M243" i="3" s="1"/>
  <c r="F269" i="3"/>
  <c r="U269" i="3" s="1"/>
  <c r="F182" i="3"/>
  <c r="G227" i="3"/>
  <c r="K262" i="3"/>
  <c r="I262" i="3"/>
  <c r="M262" i="3" s="1"/>
  <c r="G161" i="3"/>
  <c r="F209" i="3"/>
  <c r="H203" i="3"/>
  <c r="L203" i="3" s="1"/>
  <c r="J203" i="3"/>
  <c r="G221" i="3"/>
  <c r="F221" i="3"/>
  <c r="K22" i="3"/>
  <c r="U22" i="3"/>
  <c r="I22" i="3"/>
  <c r="M22" i="3" s="1"/>
  <c r="H102" i="3"/>
  <c r="L102" i="3" s="1"/>
  <c r="J102" i="3"/>
  <c r="K108" i="3"/>
  <c r="I108" i="3"/>
  <c r="M108" i="3" s="1"/>
  <c r="F204" i="3"/>
  <c r="J105" i="3"/>
  <c r="H105" i="3"/>
  <c r="L105" i="3" s="1"/>
  <c r="U105" i="3"/>
  <c r="K121" i="3"/>
  <c r="I121" i="3"/>
  <c r="M121" i="3" s="1"/>
  <c r="K95" i="3"/>
  <c r="U95" i="3"/>
  <c r="F104" i="3"/>
  <c r="G104" i="3"/>
  <c r="J108" i="3"/>
  <c r="H108" i="3"/>
  <c r="L108" i="3" s="1"/>
  <c r="F187" i="3"/>
  <c r="G275" i="3"/>
  <c r="U275" i="3" s="1"/>
  <c r="G200" i="3"/>
  <c r="F147" i="3"/>
  <c r="G135" i="3"/>
  <c r="F190" i="3"/>
  <c r="H190" i="3" s="1"/>
  <c r="L190" i="3" s="1"/>
  <c r="F248" i="3"/>
  <c r="G233" i="3"/>
  <c r="G268" i="3"/>
  <c r="F99" i="3"/>
  <c r="G99" i="3"/>
  <c r="H174" i="3"/>
  <c r="L174" i="3" s="1"/>
  <c r="J174" i="3"/>
  <c r="U174" i="3"/>
  <c r="I137" i="3"/>
  <c r="M137" i="3" s="1"/>
  <c r="U137" i="3"/>
  <c r="K137" i="3"/>
  <c r="J128" i="3"/>
  <c r="H128" i="3"/>
  <c r="L128" i="3" s="1"/>
  <c r="K130" i="3"/>
  <c r="I130" i="3"/>
  <c r="M130" i="3" s="1"/>
  <c r="U130" i="3"/>
  <c r="G186" i="3"/>
  <c r="F186" i="3"/>
  <c r="G201" i="3"/>
  <c r="F177" i="3"/>
  <c r="U177" i="3" s="1"/>
  <c r="F148" i="3"/>
  <c r="G148" i="3"/>
  <c r="F230" i="3"/>
  <c r="F253" i="3"/>
  <c r="G253" i="3"/>
  <c r="I87" i="3"/>
  <c r="M87" i="3" s="1"/>
  <c r="U87" i="3"/>
  <c r="K87" i="3"/>
  <c r="H123" i="3"/>
  <c r="L123" i="3" s="1"/>
  <c r="J123" i="3"/>
  <c r="G211" i="3"/>
  <c r="F234" i="3"/>
  <c r="U234" i="3" s="1"/>
  <c r="F245" i="3"/>
  <c r="F262" i="3"/>
  <c r="I127" i="3"/>
  <c r="M127" i="3" s="1"/>
  <c r="U127" i="3"/>
  <c r="K127" i="3"/>
  <c r="U97" i="3"/>
  <c r="G165" i="3"/>
  <c r="F239" i="3"/>
  <c r="J127" i="3"/>
  <c r="H127" i="3"/>
  <c r="L127" i="3" s="1"/>
  <c r="I229" i="3"/>
  <c r="M229" i="3" s="1"/>
  <c r="K229" i="3"/>
  <c r="U229" i="3"/>
  <c r="F259" i="3"/>
  <c r="U197" i="3"/>
  <c r="F244" i="3"/>
  <c r="J100" i="3"/>
  <c r="H100" i="3"/>
  <c r="L100" i="3" s="1"/>
  <c r="I149" i="3"/>
  <c r="M149" i="3" s="1"/>
  <c r="K149" i="3"/>
  <c r="U102" i="3"/>
  <c r="H246" i="3"/>
  <c r="L246" i="3" s="1"/>
  <c r="J246" i="3"/>
  <c r="U111" i="3"/>
  <c r="F154" i="3"/>
  <c r="I109" i="3"/>
  <c r="M109" i="3" s="1"/>
  <c r="K109" i="3"/>
  <c r="U109" i="3"/>
  <c r="F90" i="3"/>
  <c r="G90" i="3"/>
  <c r="K275" i="3"/>
  <c r="J115" i="3"/>
  <c r="H115" i="3"/>
  <c r="L115" i="3" s="1"/>
  <c r="G255" i="3"/>
  <c r="F255" i="3"/>
  <c r="E76" i="3"/>
  <c r="E75" i="3"/>
  <c r="E66" i="3"/>
  <c r="E80" i="3"/>
  <c r="E81" i="3"/>
  <c r="E77" i="3"/>
  <c r="E12" i="3"/>
  <c r="E78" i="3"/>
  <c r="E44" i="3"/>
  <c r="E69" i="3"/>
  <c r="E31" i="3"/>
  <c r="E10" i="3"/>
  <c r="G10" i="3" s="1"/>
  <c r="E62" i="3"/>
  <c r="E42" i="3"/>
  <c r="E35" i="3"/>
  <c r="E29" i="3"/>
  <c r="E15" i="3"/>
  <c r="E50" i="3"/>
  <c r="E59" i="3"/>
  <c r="E48" i="3"/>
  <c r="E65" i="3"/>
  <c r="E74" i="3"/>
  <c r="E41" i="3"/>
  <c r="E85" i="3"/>
  <c r="E79" i="3"/>
  <c r="E70" i="3"/>
  <c r="E51" i="3"/>
  <c r="E14" i="3"/>
  <c r="E21" i="3"/>
  <c r="E52" i="3"/>
  <c r="E36" i="3"/>
  <c r="E33" i="3"/>
  <c r="E63" i="3"/>
  <c r="G63" i="3" s="1"/>
  <c r="E20" i="3"/>
  <c r="E16" i="3"/>
  <c r="E40" i="3"/>
  <c r="E23" i="3"/>
  <c r="E46" i="3"/>
  <c r="E24" i="3"/>
  <c r="E11" i="3"/>
  <c r="E61" i="3"/>
  <c r="E56" i="3"/>
  <c r="E28" i="3"/>
  <c r="E47" i="3"/>
  <c r="E68" i="3"/>
  <c r="E37" i="3"/>
  <c r="E27" i="3"/>
  <c r="E39" i="3"/>
  <c r="E43" i="3"/>
  <c r="E38" i="3"/>
  <c r="E55" i="3"/>
  <c r="E83" i="3"/>
  <c r="E82" i="3"/>
  <c r="E67" i="3"/>
  <c r="E19" i="3"/>
  <c r="E64" i="3"/>
  <c r="E45" i="3"/>
  <c r="E18" i="3"/>
  <c r="E73" i="3"/>
  <c r="E25" i="3"/>
  <c r="E32" i="3"/>
  <c r="E54" i="3"/>
  <c r="E9" i="3"/>
  <c r="E72" i="3"/>
  <c r="E60" i="3"/>
  <c r="E49" i="3"/>
  <c r="L12" i="9"/>
  <c r="M12" i="9" s="1"/>
  <c r="A13" i="9"/>
  <c r="K12" i="9"/>
  <c r="N12" i="9" s="1"/>
  <c r="J187" i="3"/>
  <c r="H187" i="3"/>
  <c r="L187" i="3" s="1"/>
  <c r="H216" i="3"/>
  <c r="L216" i="3" s="1"/>
  <c r="J216" i="3"/>
  <c r="H195" i="3"/>
  <c r="L195" i="3" s="1"/>
  <c r="K212" i="3"/>
  <c r="I212" i="3"/>
  <c r="M212" i="3" s="1"/>
  <c r="K135" i="3"/>
  <c r="I135" i="3"/>
  <c r="M135" i="3" s="1"/>
  <c r="J190" i="3"/>
  <c r="K8" i="9"/>
  <c r="N8" i="9" s="1"/>
  <c r="T13" i="6"/>
  <c r="U9" i="6"/>
  <c r="I226" i="3"/>
  <c r="M226" i="3" s="1"/>
  <c r="K226" i="3"/>
  <c r="U226" i="3"/>
  <c r="U268" i="3"/>
  <c r="I268" i="3"/>
  <c r="M268" i="3" s="1"/>
  <c r="K268" i="3"/>
  <c r="I7" i="3"/>
  <c r="K7" i="3"/>
  <c r="U7" i="3"/>
  <c r="F264" i="3"/>
  <c r="G264" i="3"/>
  <c r="G126" i="3"/>
  <c r="G220" i="3"/>
  <c r="I273" i="3"/>
  <c r="M273" i="3" s="1"/>
  <c r="U273" i="3"/>
  <c r="K273" i="3"/>
  <c r="L11" i="9"/>
  <c r="M11" i="9" s="1"/>
  <c r="G147" i="3"/>
  <c r="G187" i="3"/>
  <c r="G216" i="3"/>
  <c r="G195" i="3"/>
  <c r="G236" i="3"/>
  <c r="F236" i="3"/>
  <c r="J268" i="3"/>
  <c r="H268" i="3"/>
  <c r="L268" i="3" s="1"/>
  <c r="G156" i="3"/>
  <c r="G272" i="3"/>
  <c r="G248" i="3"/>
  <c r="A15" i="6"/>
  <c r="T14" i="6"/>
  <c r="U14" i="6"/>
  <c r="T11" i="6"/>
  <c r="K10" i="9"/>
  <c r="N10" i="9" s="1"/>
  <c r="B8" i="9"/>
  <c r="K9" i="9"/>
  <c r="N9" i="9" s="1"/>
  <c r="J139" i="3"/>
  <c r="H139" i="3"/>
  <c r="L139" i="3" s="1"/>
  <c r="BD10" i="3"/>
  <c r="AB12" i="1"/>
  <c r="U13" i="1"/>
  <c r="Z12" i="1"/>
  <c r="H188" i="3"/>
  <c r="L188" i="3" s="1"/>
  <c r="J188" i="3"/>
  <c r="U231" i="3"/>
  <c r="K231" i="3"/>
  <c r="I231" i="3"/>
  <c r="M231" i="3" s="1"/>
  <c r="U188" i="3"/>
  <c r="S8" i="6"/>
  <c r="X8" i="6" s="1"/>
  <c r="T9" i="6"/>
  <c r="R9" i="3"/>
  <c r="D9" i="6"/>
  <c r="Y10" i="6"/>
  <c r="I9" i="6"/>
  <c r="J9" i="6" s="1"/>
  <c r="K9" i="6" s="1"/>
  <c r="B10" i="6"/>
  <c r="L9" i="6"/>
  <c r="H9" i="6"/>
  <c r="C9" i="6"/>
  <c r="J17" i="3"/>
  <c r="H17" i="3"/>
  <c r="L17" i="3" s="1"/>
  <c r="F157" i="3"/>
  <c r="G157" i="3"/>
  <c r="H220" i="3"/>
  <c r="L220" i="3" s="1"/>
  <c r="J220" i="3"/>
  <c r="F249" i="3"/>
  <c r="G249" i="3"/>
  <c r="G270" i="3"/>
  <c r="F270" i="3"/>
  <c r="K184" i="3"/>
  <c r="I184" i="3"/>
  <c r="M184" i="3" s="1"/>
  <c r="H214" i="3"/>
  <c r="L214" i="3" s="1"/>
  <c r="J214" i="3"/>
  <c r="J260" i="3"/>
  <c r="H260" i="3"/>
  <c r="L260" i="3" s="1"/>
  <c r="G210" i="3"/>
  <c r="F210" i="3"/>
  <c r="H248" i="3"/>
  <c r="L248" i="3" s="1"/>
  <c r="J248" i="3"/>
  <c r="I125" i="3"/>
  <c r="M125" i="3" s="1"/>
  <c r="U125" i="3"/>
  <c r="K125" i="3"/>
  <c r="F153" i="3"/>
  <c r="G153" i="3"/>
  <c r="K200" i="3"/>
  <c r="I200" i="3"/>
  <c r="M200" i="3" s="1"/>
  <c r="F184" i="3"/>
  <c r="G214" i="3"/>
  <c r="H263" i="3"/>
  <c r="L263" i="3" s="1"/>
  <c r="T12" i="6"/>
  <c r="K160" i="3"/>
  <c r="I160" i="3"/>
  <c r="M160" i="3" s="1"/>
  <c r="G190" i="3"/>
  <c r="J159" i="3"/>
  <c r="H159" i="3"/>
  <c r="L159" i="3" s="1"/>
  <c r="G222" i="3"/>
  <c r="K107" i="3"/>
  <c r="I107" i="3"/>
  <c r="M107" i="3" s="1"/>
  <c r="U107" i="3"/>
  <c r="K11" i="9"/>
  <c r="N11" i="9" s="1"/>
  <c r="L8" i="9"/>
  <c r="M8" i="9" s="1"/>
  <c r="K114" i="3"/>
  <c r="I114" i="3"/>
  <c r="M114" i="3" s="1"/>
  <c r="U114" i="3"/>
  <c r="Y11" i="1"/>
  <c r="T12" i="1"/>
  <c r="AA11" i="1"/>
  <c r="BC9" i="3"/>
  <c r="Q9" i="3" s="1"/>
  <c r="K233" i="3"/>
  <c r="I233" i="3"/>
  <c r="M233" i="3" s="1"/>
  <c r="R14" i="1"/>
  <c r="BA11" i="3"/>
  <c r="T8" i="6"/>
  <c r="U8" i="6"/>
  <c r="H226" i="3"/>
  <c r="L226" i="3" s="1"/>
  <c r="J226" i="3"/>
  <c r="J222" i="3"/>
  <c r="H222" i="3"/>
  <c r="L222" i="3" s="1"/>
  <c r="J206" i="3"/>
  <c r="H206" i="3"/>
  <c r="L206" i="3" s="1"/>
  <c r="J114" i="3"/>
  <c r="H114" i="3"/>
  <c r="L114" i="3" s="1"/>
  <c r="U123" i="3"/>
  <c r="I123" i="3"/>
  <c r="M123" i="3" s="1"/>
  <c r="K123" i="3"/>
  <c r="J168" i="3"/>
  <c r="H168" i="3"/>
  <c r="L168" i="3" s="1"/>
  <c r="U168" i="3"/>
  <c r="J275" i="3"/>
  <c r="H275" i="3"/>
  <c r="L275" i="3" s="1"/>
  <c r="H156" i="3"/>
  <c r="L156" i="3" s="1"/>
  <c r="J156" i="3"/>
  <c r="J126" i="3"/>
  <c r="H126" i="3"/>
  <c r="L126" i="3" s="1"/>
  <c r="F200" i="3"/>
  <c r="U200" i="3" s="1"/>
  <c r="G238" i="3"/>
  <c r="F238" i="3"/>
  <c r="J254" i="3"/>
  <c r="H254" i="3"/>
  <c r="L254" i="3" s="1"/>
  <c r="U254" i="3"/>
  <c r="F265" i="3"/>
  <c r="G265" i="3"/>
  <c r="J147" i="3"/>
  <c r="H147" i="3"/>
  <c r="L147" i="3" s="1"/>
  <c r="G198" i="3"/>
  <c r="F198" i="3"/>
  <c r="G260" i="3"/>
  <c r="F199" i="3"/>
  <c r="G199" i="3"/>
  <c r="F212" i="3"/>
  <c r="G263" i="3"/>
  <c r="G271" i="3"/>
  <c r="F271" i="3"/>
  <c r="F135" i="3"/>
  <c r="F160" i="3"/>
  <c r="U160" i="3" s="1"/>
  <c r="J272" i="3"/>
  <c r="H272" i="3"/>
  <c r="L272" i="3" s="1"/>
  <c r="U13" i="6"/>
  <c r="G159" i="3"/>
  <c r="G206" i="3"/>
  <c r="L10" i="9"/>
  <c r="M10" i="9" s="1"/>
  <c r="L9" i="9"/>
  <c r="M9" i="9" s="1"/>
  <c r="K139" i="3"/>
  <c r="I139" i="3"/>
  <c r="M139" i="3" s="1"/>
  <c r="U139" i="3"/>
  <c r="U132" i="3"/>
  <c r="K132" i="3"/>
  <c r="I132" i="3"/>
  <c r="M132" i="3" s="1"/>
  <c r="F233" i="3"/>
  <c r="U233" i="3" s="1"/>
  <c r="T10" i="6"/>
  <c r="S9" i="6"/>
  <c r="X9" i="6" s="1"/>
  <c r="U10" i="6"/>
  <c r="U11" i="6"/>
  <c r="G115" i="3"/>
  <c r="O10" i="3"/>
  <c r="K17" i="3"/>
  <c r="I17" i="3"/>
  <c r="M17" i="3" s="1"/>
  <c r="U17" i="3"/>
  <c r="I259" i="3" l="1"/>
  <c r="M259" i="3" s="1"/>
  <c r="K259" i="3"/>
  <c r="F63" i="3"/>
  <c r="I275" i="3"/>
  <c r="M275" i="3" s="1"/>
  <c r="F10" i="3"/>
  <c r="J10" i="3" s="1"/>
  <c r="U165" i="3"/>
  <c r="I165" i="3"/>
  <c r="M165" i="3" s="1"/>
  <c r="K165" i="3"/>
  <c r="K211" i="3"/>
  <c r="I211" i="3"/>
  <c r="M211" i="3" s="1"/>
  <c r="U211" i="3"/>
  <c r="J230" i="3"/>
  <c r="H230" i="3"/>
  <c r="L230" i="3" s="1"/>
  <c r="I201" i="3"/>
  <c r="M201" i="3" s="1"/>
  <c r="K201" i="3"/>
  <c r="U201" i="3"/>
  <c r="H104" i="3"/>
  <c r="L104" i="3" s="1"/>
  <c r="J104" i="3"/>
  <c r="H204" i="3"/>
  <c r="L204" i="3" s="1"/>
  <c r="J204" i="3"/>
  <c r="H221" i="3"/>
  <c r="L221" i="3" s="1"/>
  <c r="J221" i="3"/>
  <c r="H209" i="3"/>
  <c r="L209" i="3" s="1"/>
  <c r="J209" i="3"/>
  <c r="I242" i="3"/>
  <c r="M242" i="3" s="1"/>
  <c r="U242" i="3"/>
  <c r="K242" i="3"/>
  <c r="U204" i="3"/>
  <c r="K158" i="3"/>
  <c r="U158" i="3"/>
  <c r="I158" i="3"/>
  <c r="M158" i="3" s="1"/>
  <c r="U230" i="3"/>
  <c r="I129" i="3"/>
  <c r="M129" i="3" s="1"/>
  <c r="K129" i="3"/>
  <c r="U129" i="3"/>
  <c r="Y8" i="6"/>
  <c r="Y9" i="6" s="1"/>
  <c r="M286" i="3"/>
  <c r="L286" i="3" s="1"/>
  <c r="K286" i="3" s="1"/>
  <c r="J257" i="3"/>
  <c r="H257" i="3"/>
  <c r="L257" i="3" s="1"/>
  <c r="J259" i="3"/>
  <c r="H259" i="3"/>
  <c r="L259" i="3" s="1"/>
  <c r="J262" i="3"/>
  <c r="H262" i="3"/>
  <c r="L262" i="3" s="1"/>
  <c r="I148" i="3"/>
  <c r="M148" i="3" s="1"/>
  <c r="U148" i="3"/>
  <c r="K148" i="3"/>
  <c r="J186" i="3"/>
  <c r="H186" i="3"/>
  <c r="L186" i="3" s="1"/>
  <c r="I221" i="3"/>
  <c r="M221" i="3" s="1"/>
  <c r="K221" i="3"/>
  <c r="U221" i="3"/>
  <c r="K161" i="3"/>
  <c r="I161" i="3"/>
  <c r="M161" i="3" s="1"/>
  <c r="U161" i="3"/>
  <c r="I227" i="3"/>
  <c r="M227" i="3" s="1"/>
  <c r="U227" i="3"/>
  <c r="K227" i="3"/>
  <c r="K189" i="3"/>
  <c r="I189" i="3"/>
  <c r="M189" i="3" s="1"/>
  <c r="U189" i="3"/>
  <c r="H119" i="3"/>
  <c r="L119" i="3" s="1"/>
  <c r="J119" i="3"/>
  <c r="H205" i="3"/>
  <c r="L205" i="3" s="1"/>
  <c r="J205" i="3"/>
  <c r="H243" i="3"/>
  <c r="L243" i="3" s="1"/>
  <c r="J243" i="3"/>
  <c r="J154" i="3"/>
  <c r="U154" i="3"/>
  <c r="H154" i="3"/>
  <c r="L154" i="3" s="1"/>
  <c r="J245" i="3"/>
  <c r="H245" i="3"/>
  <c r="L245" i="3" s="1"/>
  <c r="U253" i="3"/>
  <c r="K253" i="3"/>
  <c r="I253" i="3"/>
  <c r="M253" i="3" s="1"/>
  <c r="J148" i="3"/>
  <c r="H148" i="3"/>
  <c r="L148" i="3" s="1"/>
  <c r="K186" i="3"/>
  <c r="U186" i="3"/>
  <c r="I186" i="3"/>
  <c r="M186" i="3" s="1"/>
  <c r="K99" i="3"/>
  <c r="I99" i="3"/>
  <c r="M99" i="3" s="1"/>
  <c r="U99" i="3"/>
  <c r="U262" i="3"/>
  <c r="J182" i="3"/>
  <c r="H182" i="3"/>
  <c r="L182" i="3" s="1"/>
  <c r="U182" i="3"/>
  <c r="S12" i="1"/>
  <c r="BB9" i="3"/>
  <c r="P9" i="3" s="1"/>
  <c r="J213" i="3"/>
  <c r="H213" i="3"/>
  <c r="L213" i="3" s="1"/>
  <c r="U209" i="3"/>
  <c r="H189" i="3"/>
  <c r="L189" i="3" s="1"/>
  <c r="J189" i="3"/>
  <c r="K203" i="3"/>
  <c r="I203" i="3"/>
  <c r="M203" i="3" s="1"/>
  <c r="U203" i="3"/>
  <c r="H112" i="3"/>
  <c r="L112" i="3" s="1"/>
  <c r="J112" i="3"/>
  <c r="H244" i="3"/>
  <c r="L244" i="3" s="1"/>
  <c r="J244" i="3"/>
  <c r="U244" i="3"/>
  <c r="J239" i="3"/>
  <c r="H239" i="3"/>
  <c r="L239" i="3" s="1"/>
  <c r="H234" i="3"/>
  <c r="L234" i="3" s="1"/>
  <c r="J234" i="3"/>
  <c r="J253" i="3"/>
  <c r="H253" i="3"/>
  <c r="L253" i="3" s="1"/>
  <c r="J177" i="3"/>
  <c r="H177" i="3"/>
  <c r="L177" i="3" s="1"/>
  <c r="H99" i="3"/>
  <c r="L99" i="3" s="1"/>
  <c r="J99" i="3"/>
  <c r="I104" i="3"/>
  <c r="M104" i="3" s="1"/>
  <c r="U104" i="3"/>
  <c r="K104" i="3"/>
  <c r="J269" i="3"/>
  <c r="H269" i="3"/>
  <c r="L269" i="3" s="1"/>
  <c r="H242" i="3"/>
  <c r="L242" i="3" s="1"/>
  <c r="J242" i="3"/>
  <c r="J183" i="3"/>
  <c r="H183" i="3"/>
  <c r="L183" i="3" s="1"/>
  <c r="U183" i="3"/>
  <c r="H158" i="3"/>
  <c r="L158" i="3" s="1"/>
  <c r="J158" i="3"/>
  <c r="U259" i="3"/>
  <c r="U239" i="3"/>
  <c r="K213" i="3"/>
  <c r="I213" i="3"/>
  <c r="M213" i="3" s="1"/>
  <c r="U213" i="3"/>
  <c r="U119" i="3"/>
  <c r="H129" i="3"/>
  <c r="L129" i="3" s="1"/>
  <c r="J129" i="3"/>
  <c r="U245" i="3"/>
  <c r="U112" i="3"/>
  <c r="I112" i="3"/>
  <c r="M112" i="3" s="1"/>
  <c r="K112" i="3"/>
  <c r="H135" i="3"/>
  <c r="L135" i="3" s="1"/>
  <c r="J135" i="3"/>
  <c r="H212" i="3"/>
  <c r="L212" i="3" s="1"/>
  <c r="J212" i="3"/>
  <c r="H198" i="3"/>
  <c r="L198" i="3" s="1"/>
  <c r="J198" i="3"/>
  <c r="U265" i="3"/>
  <c r="I265" i="3"/>
  <c r="M265" i="3" s="1"/>
  <c r="K265" i="3"/>
  <c r="H10" i="3"/>
  <c r="L10" i="3" s="1"/>
  <c r="O11" i="3"/>
  <c r="K190" i="3"/>
  <c r="I190" i="3"/>
  <c r="M190" i="3" s="1"/>
  <c r="U190" i="3"/>
  <c r="H184" i="3"/>
  <c r="L184" i="3" s="1"/>
  <c r="J184" i="3"/>
  <c r="K153" i="3"/>
  <c r="U153" i="3"/>
  <c r="I153" i="3"/>
  <c r="M153" i="3" s="1"/>
  <c r="U184" i="3"/>
  <c r="I270" i="3"/>
  <c r="M270" i="3" s="1"/>
  <c r="K270" i="3"/>
  <c r="U270" i="3"/>
  <c r="P9" i="6"/>
  <c r="R10" i="3"/>
  <c r="E8" i="9"/>
  <c r="F8" i="9"/>
  <c r="G8" i="9"/>
  <c r="D8" i="9"/>
  <c r="B4" i="9"/>
  <c r="B9" i="9"/>
  <c r="H8" i="9"/>
  <c r="I8" i="9"/>
  <c r="C8" i="9"/>
  <c r="I248" i="3"/>
  <c r="M248" i="3" s="1"/>
  <c r="U248" i="3"/>
  <c r="K248" i="3"/>
  <c r="U216" i="3"/>
  <c r="K216" i="3"/>
  <c r="I216" i="3"/>
  <c r="M216" i="3" s="1"/>
  <c r="I126" i="3"/>
  <c r="M126" i="3" s="1"/>
  <c r="K126" i="3"/>
  <c r="U126" i="3"/>
  <c r="G9" i="3"/>
  <c r="E279" i="3"/>
  <c r="F9" i="3"/>
  <c r="F73" i="3"/>
  <c r="G73" i="3"/>
  <c r="G19" i="3"/>
  <c r="F19" i="3"/>
  <c r="G55" i="3"/>
  <c r="F55" i="3"/>
  <c r="G27" i="3"/>
  <c r="F27" i="3"/>
  <c r="F28" i="3"/>
  <c r="G28" i="3"/>
  <c r="G24" i="3"/>
  <c r="F24" i="3"/>
  <c r="G16" i="3"/>
  <c r="F16" i="3"/>
  <c r="F36" i="3"/>
  <c r="G36" i="3"/>
  <c r="F51" i="3"/>
  <c r="G51" i="3"/>
  <c r="G41" i="3"/>
  <c r="F41" i="3"/>
  <c r="G59" i="3"/>
  <c r="F59" i="3"/>
  <c r="G35" i="3"/>
  <c r="F35" i="3"/>
  <c r="F31" i="3"/>
  <c r="G31" i="3"/>
  <c r="F12" i="3"/>
  <c r="G12" i="3"/>
  <c r="G66" i="3"/>
  <c r="F66" i="3"/>
  <c r="K255" i="3"/>
  <c r="I255" i="3"/>
  <c r="M255" i="3" s="1"/>
  <c r="U255" i="3"/>
  <c r="H271" i="3"/>
  <c r="L271" i="3" s="1"/>
  <c r="J271" i="3"/>
  <c r="I199" i="3"/>
  <c r="M199" i="3" s="1"/>
  <c r="K199" i="3"/>
  <c r="U199" i="3"/>
  <c r="U198" i="3"/>
  <c r="K198" i="3"/>
  <c r="I198" i="3"/>
  <c r="M198" i="3" s="1"/>
  <c r="H265" i="3"/>
  <c r="L265" i="3" s="1"/>
  <c r="J265" i="3"/>
  <c r="H238" i="3"/>
  <c r="L238" i="3" s="1"/>
  <c r="J238" i="3"/>
  <c r="BA12" i="3"/>
  <c r="O12" i="3" s="1"/>
  <c r="R15" i="1"/>
  <c r="U222" i="3"/>
  <c r="K222" i="3"/>
  <c r="I222" i="3"/>
  <c r="M222" i="3" s="1"/>
  <c r="J153" i="3"/>
  <c r="H153" i="3"/>
  <c r="L153" i="3" s="1"/>
  <c r="K249" i="3"/>
  <c r="U249" i="3"/>
  <c r="I249" i="3"/>
  <c r="M249" i="3" s="1"/>
  <c r="U157" i="3"/>
  <c r="I157" i="3"/>
  <c r="M157" i="3" s="1"/>
  <c r="K157" i="3"/>
  <c r="U272" i="3"/>
  <c r="I272" i="3"/>
  <c r="M272" i="3" s="1"/>
  <c r="K272" i="3"/>
  <c r="J236" i="3"/>
  <c r="H236" i="3"/>
  <c r="L236" i="3" s="1"/>
  <c r="U187" i="3"/>
  <c r="I187" i="3"/>
  <c r="M187" i="3" s="1"/>
  <c r="K187" i="3"/>
  <c r="U264" i="3"/>
  <c r="I264" i="3"/>
  <c r="M264" i="3" s="1"/>
  <c r="K264" i="3"/>
  <c r="U212" i="3"/>
  <c r="G49" i="3"/>
  <c r="F49" i="3"/>
  <c r="F54" i="3"/>
  <c r="G54" i="3"/>
  <c r="G18" i="3"/>
  <c r="F18" i="3"/>
  <c r="F67" i="3"/>
  <c r="G67" i="3"/>
  <c r="F38" i="3"/>
  <c r="G38" i="3"/>
  <c r="F37" i="3"/>
  <c r="G37" i="3"/>
  <c r="G56" i="3"/>
  <c r="F56" i="3"/>
  <c r="G46" i="3"/>
  <c r="F46" i="3"/>
  <c r="F20" i="3"/>
  <c r="G20" i="3"/>
  <c r="F52" i="3"/>
  <c r="G52" i="3"/>
  <c r="F70" i="3"/>
  <c r="G70" i="3"/>
  <c r="F74" i="3"/>
  <c r="G74" i="3"/>
  <c r="G50" i="3"/>
  <c r="F50" i="3"/>
  <c r="G42" i="3"/>
  <c r="F42" i="3"/>
  <c r="G69" i="3"/>
  <c r="F69" i="3"/>
  <c r="G77" i="3"/>
  <c r="F77" i="3"/>
  <c r="G75" i="3"/>
  <c r="F75" i="3"/>
  <c r="K115" i="3"/>
  <c r="I115" i="3"/>
  <c r="M115" i="3" s="1"/>
  <c r="U115" i="3"/>
  <c r="K206" i="3"/>
  <c r="I206" i="3"/>
  <c r="M206" i="3" s="1"/>
  <c r="U206" i="3"/>
  <c r="K271" i="3"/>
  <c r="U271" i="3"/>
  <c r="I271" i="3"/>
  <c r="M271" i="3" s="1"/>
  <c r="J199" i="3"/>
  <c r="H199" i="3"/>
  <c r="L199" i="3" s="1"/>
  <c r="U238" i="3"/>
  <c r="K238" i="3"/>
  <c r="I238" i="3"/>
  <c r="M238" i="3" s="1"/>
  <c r="J210" i="3"/>
  <c r="H210" i="3"/>
  <c r="L210" i="3" s="1"/>
  <c r="H249" i="3"/>
  <c r="L249" i="3" s="1"/>
  <c r="J249" i="3"/>
  <c r="H157" i="3"/>
  <c r="L157" i="3" s="1"/>
  <c r="J157" i="3"/>
  <c r="S10" i="6"/>
  <c r="AB13" i="1"/>
  <c r="U14" i="1"/>
  <c r="BD11" i="3"/>
  <c r="R11" i="3" s="1"/>
  <c r="Z13" i="1"/>
  <c r="H63" i="3"/>
  <c r="L63" i="3" s="1"/>
  <c r="J63" i="3"/>
  <c r="I156" i="3"/>
  <c r="M156" i="3" s="1"/>
  <c r="K156" i="3"/>
  <c r="U156" i="3"/>
  <c r="U236" i="3"/>
  <c r="I236" i="3"/>
  <c r="M236" i="3" s="1"/>
  <c r="K236" i="3"/>
  <c r="I147" i="3"/>
  <c r="M147" i="3" s="1"/>
  <c r="K147" i="3"/>
  <c r="U147" i="3"/>
  <c r="J264" i="3"/>
  <c r="H264" i="3"/>
  <c r="L264" i="3" s="1"/>
  <c r="M7" i="3"/>
  <c r="U135" i="3"/>
  <c r="G60" i="3"/>
  <c r="F60" i="3"/>
  <c r="F32" i="3"/>
  <c r="G32" i="3"/>
  <c r="F45" i="3"/>
  <c r="G45" i="3"/>
  <c r="G82" i="3"/>
  <c r="F82" i="3"/>
  <c r="G43" i="3"/>
  <c r="F43" i="3"/>
  <c r="G68" i="3"/>
  <c r="F68" i="3"/>
  <c r="G61" i="3"/>
  <c r="F61" i="3"/>
  <c r="F23" i="3"/>
  <c r="G23" i="3"/>
  <c r="U63" i="3"/>
  <c r="I63" i="3"/>
  <c r="M63" i="3" s="1"/>
  <c r="K63" i="3"/>
  <c r="G21" i="3"/>
  <c r="F21" i="3"/>
  <c r="F79" i="3"/>
  <c r="G79" i="3"/>
  <c r="G65" i="3"/>
  <c r="F65" i="3"/>
  <c r="F15" i="3"/>
  <c r="G15" i="3"/>
  <c r="G62" i="3"/>
  <c r="F62" i="3"/>
  <c r="G44" i="3"/>
  <c r="F44" i="3"/>
  <c r="F81" i="3"/>
  <c r="G81" i="3"/>
  <c r="G76" i="3"/>
  <c r="F76" i="3"/>
  <c r="I90" i="3"/>
  <c r="M90" i="3" s="1"/>
  <c r="U90" i="3"/>
  <c r="K90" i="3"/>
  <c r="H233" i="3"/>
  <c r="L233" i="3" s="1"/>
  <c r="J233" i="3"/>
  <c r="K159" i="3"/>
  <c r="I159" i="3"/>
  <c r="M159" i="3" s="1"/>
  <c r="U159" i="3"/>
  <c r="J160" i="3"/>
  <c r="H160" i="3"/>
  <c r="L160" i="3" s="1"/>
  <c r="K263" i="3"/>
  <c r="I263" i="3"/>
  <c r="M263" i="3" s="1"/>
  <c r="U263" i="3"/>
  <c r="K260" i="3"/>
  <c r="U260" i="3"/>
  <c r="I260" i="3"/>
  <c r="M260" i="3" s="1"/>
  <c r="J200" i="3"/>
  <c r="H200" i="3"/>
  <c r="L200" i="3" s="1"/>
  <c r="V8" i="6"/>
  <c r="V9" i="6" s="1"/>
  <c r="V10" i="6" s="1"/>
  <c r="V11" i="6" s="1"/>
  <c r="V12" i="6" s="1"/>
  <c r="V13" i="6" s="1"/>
  <c r="V14" i="6" s="1"/>
  <c r="T13" i="1"/>
  <c r="AA12" i="1"/>
  <c r="Y12" i="1"/>
  <c r="BC10" i="3"/>
  <c r="Q10" i="3" s="1"/>
  <c r="K214" i="3"/>
  <c r="I214" i="3"/>
  <c r="M214" i="3" s="1"/>
  <c r="U214" i="3"/>
  <c r="I210" i="3"/>
  <c r="M210" i="3" s="1"/>
  <c r="K210" i="3"/>
  <c r="U210" i="3"/>
  <c r="H270" i="3"/>
  <c r="L270" i="3" s="1"/>
  <c r="J270" i="3"/>
  <c r="C10" i="6"/>
  <c r="Y11" i="6"/>
  <c r="H10" i="6"/>
  <c r="D10" i="6"/>
  <c r="B11" i="6"/>
  <c r="I10" i="6"/>
  <c r="J10" i="6" s="1"/>
  <c r="L10" i="6"/>
  <c r="A16" i="6"/>
  <c r="T15" i="6"/>
  <c r="U15" i="6"/>
  <c r="K195" i="3"/>
  <c r="I195" i="3"/>
  <c r="M195" i="3" s="1"/>
  <c r="U195" i="3"/>
  <c r="I220" i="3"/>
  <c r="M220" i="3" s="1"/>
  <c r="U220" i="3"/>
  <c r="K220" i="3"/>
  <c r="K13" i="9"/>
  <c r="N13" i="9" s="1"/>
  <c r="A14" i="9"/>
  <c r="L13" i="9"/>
  <c r="M13" i="9" s="1"/>
  <c r="G72" i="3"/>
  <c r="F72" i="3"/>
  <c r="G25" i="3"/>
  <c r="F25" i="3"/>
  <c r="G64" i="3"/>
  <c r="F64" i="3"/>
  <c r="G83" i="3"/>
  <c r="F83" i="3"/>
  <c r="G39" i="3"/>
  <c r="F39" i="3"/>
  <c r="F47" i="3"/>
  <c r="G47" i="3"/>
  <c r="F11" i="3"/>
  <c r="G11" i="3"/>
  <c r="F40" i="3"/>
  <c r="G40" i="3"/>
  <c r="F33" i="3"/>
  <c r="G33" i="3"/>
  <c r="F14" i="3"/>
  <c r="G14" i="3"/>
  <c r="F85" i="3"/>
  <c r="G85" i="3"/>
  <c r="F48" i="3"/>
  <c r="G48" i="3"/>
  <c r="F29" i="3"/>
  <c r="G29" i="3"/>
  <c r="K10" i="3"/>
  <c r="I10" i="3"/>
  <c r="M10" i="3" s="1"/>
  <c r="F78" i="3"/>
  <c r="G78" i="3"/>
  <c r="F80" i="3"/>
  <c r="G80" i="3"/>
  <c r="H255" i="3"/>
  <c r="L255" i="3" s="1"/>
  <c r="J255" i="3"/>
  <c r="H90" i="3"/>
  <c r="L90" i="3" s="1"/>
  <c r="J90" i="3"/>
  <c r="U10" i="3" l="1"/>
  <c r="S13" i="1"/>
  <c r="BB10" i="3"/>
  <c r="P10" i="3" s="1"/>
  <c r="K10" i="6"/>
  <c r="I78" i="3"/>
  <c r="M78" i="3" s="1"/>
  <c r="U78" i="3"/>
  <c r="K78" i="3"/>
  <c r="K29" i="3"/>
  <c r="I29" i="3"/>
  <c r="M29" i="3" s="1"/>
  <c r="I85" i="3"/>
  <c r="M85" i="3" s="1"/>
  <c r="U85" i="3"/>
  <c r="K85" i="3"/>
  <c r="I33" i="3"/>
  <c r="M33" i="3" s="1"/>
  <c r="K33" i="3"/>
  <c r="I11" i="3"/>
  <c r="M11" i="3" s="1"/>
  <c r="K11" i="3"/>
  <c r="J39" i="3"/>
  <c r="H39" i="3"/>
  <c r="L39" i="3" s="1"/>
  <c r="U39" i="3"/>
  <c r="J64" i="3"/>
  <c r="H64" i="3"/>
  <c r="L64" i="3" s="1"/>
  <c r="H72" i="3"/>
  <c r="L72" i="3" s="1"/>
  <c r="J72" i="3"/>
  <c r="I81" i="3"/>
  <c r="M81" i="3" s="1"/>
  <c r="K81" i="3"/>
  <c r="U81" i="3"/>
  <c r="J62" i="3"/>
  <c r="H62" i="3"/>
  <c r="L62" i="3" s="1"/>
  <c r="H65" i="3"/>
  <c r="L65" i="3" s="1"/>
  <c r="J65" i="3"/>
  <c r="J21" i="3"/>
  <c r="H21" i="3"/>
  <c r="L21" i="3" s="1"/>
  <c r="I61" i="3"/>
  <c r="M61" i="3" s="1"/>
  <c r="K61" i="3"/>
  <c r="U61" i="3"/>
  <c r="I43" i="3"/>
  <c r="M43" i="3" s="1"/>
  <c r="K43" i="3"/>
  <c r="U45" i="3"/>
  <c r="H45" i="3"/>
  <c r="L45" i="3" s="1"/>
  <c r="J45" i="3"/>
  <c r="K60" i="3"/>
  <c r="U60" i="3"/>
  <c r="I60" i="3"/>
  <c r="M60" i="3" s="1"/>
  <c r="H75" i="3"/>
  <c r="L75" i="3" s="1"/>
  <c r="J75" i="3"/>
  <c r="J69" i="3"/>
  <c r="H69" i="3"/>
  <c r="L69" i="3" s="1"/>
  <c r="J50" i="3"/>
  <c r="U50" i="3"/>
  <c r="H50" i="3"/>
  <c r="L50" i="3" s="1"/>
  <c r="K70" i="3"/>
  <c r="U70" i="3"/>
  <c r="I70" i="3"/>
  <c r="M70" i="3" s="1"/>
  <c r="K20" i="3"/>
  <c r="U20" i="3"/>
  <c r="I20" i="3"/>
  <c r="M20" i="3" s="1"/>
  <c r="U56" i="3"/>
  <c r="H56" i="3"/>
  <c r="L56" i="3" s="1"/>
  <c r="J56" i="3"/>
  <c r="I38" i="3"/>
  <c r="M38" i="3" s="1"/>
  <c r="K38" i="3"/>
  <c r="J18" i="3"/>
  <c r="H18" i="3"/>
  <c r="L18" i="3" s="1"/>
  <c r="J49" i="3"/>
  <c r="U49" i="3"/>
  <c r="H49" i="3"/>
  <c r="L49" i="3" s="1"/>
  <c r="BA13" i="3"/>
  <c r="O13" i="3" s="1"/>
  <c r="R16" i="1"/>
  <c r="K12" i="3"/>
  <c r="I12" i="3"/>
  <c r="M12" i="3" s="1"/>
  <c r="H35" i="3"/>
  <c r="L35" i="3" s="1"/>
  <c r="U35" i="3"/>
  <c r="J35" i="3"/>
  <c r="J41" i="3"/>
  <c r="H41" i="3"/>
  <c r="L41" i="3" s="1"/>
  <c r="U41" i="3"/>
  <c r="K36" i="3"/>
  <c r="I36" i="3"/>
  <c r="M36" i="3" s="1"/>
  <c r="J24" i="3"/>
  <c r="H24" i="3"/>
  <c r="L24" i="3" s="1"/>
  <c r="H27" i="3"/>
  <c r="L27" i="3" s="1"/>
  <c r="U27" i="3"/>
  <c r="J27" i="3"/>
  <c r="H19" i="3"/>
  <c r="L19" i="3" s="1"/>
  <c r="J19" i="3"/>
  <c r="U9" i="3"/>
  <c r="J9" i="3"/>
  <c r="H9" i="3"/>
  <c r="F279" i="3"/>
  <c r="J78" i="3"/>
  <c r="H78" i="3"/>
  <c r="L78" i="3" s="1"/>
  <c r="H29" i="3"/>
  <c r="L29" i="3" s="1"/>
  <c r="J29" i="3"/>
  <c r="U29" i="3"/>
  <c r="H85" i="3"/>
  <c r="L85" i="3" s="1"/>
  <c r="J85" i="3"/>
  <c r="J33" i="3"/>
  <c r="H33" i="3"/>
  <c r="L33" i="3" s="1"/>
  <c r="U33" i="3"/>
  <c r="J11" i="3"/>
  <c r="U11" i="3"/>
  <c r="H11" i="3"/>
  <c r="L11" i="3" s="1"/>
  <c r="K39" i="3"/>
  <c r="I39" i="3"/>
  <c r="M39" i="3" s="1"/>
  <c r="I64" i="3"/>
  <c r="M64" i="3" s="1"/>
  <c r="U64" i="3"/>
  <c r="K64" i="3"/>
  <c r="U72" i="3"/>
  <c r="K72" i="3"/>
  <c r="I72" i="3"/>
  <c r="M72" i="3" s="1"/>
  <c r="U16" i="6"/>
  <c r="T16" i="6"/>
  <c r="A17" i="6"/>
  <c r="J81" i="3"/>
  <c r="H81" i="3"/>
  <c r="L81" i="3" s="1"/>
  <c r="K62" i="3"/>
  <c r="U62" i="3"/>
  <c r="I62" i="3"/>
  <c r="M62" i="3" s="1"/>
  <c r="K65" i="3"/>
  <c r="I65" i="3"/>
  <c r="M65" i="3" s="1"/>
  <c r="U65" i="3"/>
  <c r="I21" i="3"/>
  <c r="M21" i="3" s="1"/>
  <c r="K21" i="3"/>
  <c r="U21" i="3"/>
  <c r="U23" i="3"/>
  <c r="K23" i="3"/>
  <c r="I23" i="3"/>
  <c r="M23" i="3" s="1"/>
  <c r="H68" i="3"/>
  <c r="L68" i="3" s="1"/>
  <c r="J68" i="3"/>
  <c r="H82" i="3"/>
  <c r="L82" i="3" s="1"/>
  <c r="J82" i="3"/>
  <c r="K32" i="3"/>
  <c r="I32" i="3"/>
  <c r="M32" i="3" s="1"/>
  <c r="X10" i="6"/>
  <c r="S11" i="6"/>
  <c r="I75" i="3"/>
  <c r="M75" i="3" s="1"/>
  <c r="U75" i="3"/>
  <c r="K75" i="3"/>
  <c r="I69" i="3"/>
  <c r="M69" i="3" s="1"/>
  <c r="K69" i="3"/>
  <c r="U69" i="3"/>
  <c r="K50" i="3"/>
  <c r="I50" i="3"/>
  <c r="M50" i="3" s="1"/>
  <c r="J70" i="3"/>
  <c r="H70" i="3"/>
  <c r="L70" i="3" s="1"/>
  <c r="J20" i="3"/>
  <c r="H20" i="3"/>
  <c r="L20" i="3" s="1"/>
  <c r="K56" i="3"/>
  <c r="I56" i="3"/>
  <c r="M56" i="3" s="1"/>
  <c r="J38" i="3"/>
  <c r="U38" i="3"/>
  <c r="H38" i="3"/>
  <c r="L38" i="3" s="1"/>
  <c r="K18" i="3"/>
  <c r="U18" i="3"/>
  <c r="I18" i="3"/>
  <c r="M18" i="3" s="1"/>
  <c r="K49" i="3"/>
  <c r="I49" i="3"/>
  <c r="M49" i="3" s="1"/>
  <c r="J12" i="3"/>
  <c r="U12" i="3"/>
  <c r="H12" i="3"/>
  <c r="L12" i="3" s="1"/>
  <c r="K35" i="3"/>
  <c r="I35" i="3"/>
  <c r="M35" i="3" s="1"/>
  <c r="K41" i="3"/>
  <c r="I41" i="3"/>
  <c r="M41" i="3" s="1"/>
  <c r="J36" i="3"/>
  <c r="H36" i="3"/>
  <c r="L36" i="3" s="1"/>
  <c r="U36" i="3"/>
  <c r="K24" i="3"/>
  <c r="U24" i="3"/>
  <c r="I24" i="3"/>
  <c r="M24" i="3" s="1"/>
  <c r="K27" i="3"/>
  <c r="I27" i="3"/>
  <c r="M27" i="3" s="1"/>
  <c r="I19" i="3"/>
  <c r="M19" i="3" s="1"/>
  <c r="U19" i="3"/>
  <c r="K19" i="3"/>
  <c r="U80" i="3"/>
  <c r="K80" i="3"/>
  <c r="I80" i="3"/>
  <c r="M80" i="3" s="1"/>
  <c r="I48" i="3"/>
  <c r="M48" i="3" s="1"/>
  <c r="K48" i="3"/>
  <c r="K14" i="3"/>
  <c r="I14" i="3"/>
  <c r="M14" i="3" s="1"/>
  <c r="I40" i="3"/>
  <c r="M40" i="3" s="1"/>
  <c r="K40" i="3"/>
  <c r="K47" i="3"/>
  <c r="I47" i="3"/>
  <c r="M47" i="3" s="1"/>
  <c r="J83" i="3"/>
  <c r="H83" i="3"/>
  <c r="L83" i="3" s="1"/>
  <c r="J25" i="3"/>
  <c r="H25" i="3"/>
  <c r="L25" i="3" s="1"/>
  <c r="H11" i="6"/>
  <c r="D11" i="6"/>
  <c r="B12" i="6"/>
  <c r="L11" i="6"/>
  <c r="P11" i="6" s="1"/>
  <c r="I11" i="6"/>
  <c r="J11" i="6" s="1"/>
  <c r="K11" i="6" s="1"/>
  <c r="Y12" i="6"/>
  <c r="C11" i="6"/>
  <c r="BC11" i="3"/>
  <c r="Q11" i="3" s="1"/>
  <c r="T14" i="1"/>
  <c r="Y13" i="1"/>
  <c r="AA13" i="1"/>
  <c r="J76" i="3"/>
  <c r="H76" i="3"/>
  <c r="L76" i="3" s="1"/>
  <c r="J44" i="3"/>
  <c r="H44" i="3"/>
  <c r="L44" i="3" s="1"/>
  <c r="U44" i="3"/>
  <c r="K15" i="3"/>
  <c r="I15" i="3"/>
  <c r="M15" i="3" s="1"/>
  <c r="U79" i="3"/>
  <c r="K79" i="3"/>
  <c r="I79" i="3"/>
  <c r="M79" i="3" s="1"/>
  <c r="H23" i="3"/>
  <c r="L23" i="3" s="1"/>
  <c r="J23" i="3"/>
  <c r="K68" i="3"/>
  <c r="I68" i="3"/>
  <c r="M68" i="3" s="1"/>
  <c r="U68" i="3"/>
  <c r="U82" i="3"/>
  <c r="K82" i="3"/>
  <c r="I82" i="3"/>
  <c r="M82" i="3" s="1"/>
  <c r="J32" i="3"/>
  <c r="H32" i="3"/>
  <c r="L32" i="3" s="1"/>
  <c r="U32" i="3"/>
  <c r="J77" i="3"/>
  <c r="H77" i="3"/>
  <c r="L77" i="3" s="1"/>
  <c r="U42" i="3"/>
  <c r="H42" i="3"/>
  <c r="L42" i="3" s="1"/>
  <c r="J42" i="3"/>
  <c r="K74" i="3"/>
  <c r="I74" i="3"/>
  <c r="M74" i="3" s="1"/>
  <c r="U74" i="3"/>
  <c r="K52" i="3"/>
  <c r="I52" i="3"/>
  <c r="M52" i="3" s="1"/>
  <c r="U46" i="3"/>
  <c r="J46" i="3"/>
  <c r="H46" i="3"/>
  <c r="L46" i="3" s="1"/>
  <c r="K37" i="3"/>
  <c r="I37" i="3"/>
  <c r="M37" i="3" s="1"/>
  <c r="K67" i="3"/>
  <c r="U67" i="3"/>
  <c r="I67" i="3"/>
  <c r="M67" i="3" s="1"/>
  <c r="I54" i="3"/>
  <c r="M54" i="3" s="1"/>
  <c r="K54" i="3"/>
  <c r="H66" i="3"/>
  <c r="L66" i="3" s="1"/>
  <c r="J66" i="3"/>
  <c r="I31" i="3"/>
  <c r="M31" i="3" s="1"/>
  <c r="K31" i="3"/>
  <c r="J59" i="3"/>
  <c r="H59" i="3"/>
  <c r="L59" i="3" s="1"/>
  <c r="K51" i="3"/>
  <c r="I51" i="3"/>
  <c r="M51" i="3" s="1"/>
  <c r="U16" i="3"/>
  <c r="J16" i="3"/>
  <c r="H16" i="3"/>
  <c r="L16" i="3" s="1"/>
  <c r="I28" i="3"/>
  <c r="M28" i="3" s="1"/>
  <c r="K28" i="3"/>
  <c r="U55" i="3"/>
  <c r="J55" i="3"/>
  <c r="H55" i="3"/>
  <c r="L55" i="3" s="1"/>
  <c r="K73" i="3"/>
  <c r="I73" i="3"/>
  <c r="M73" i="3" s="1"/>
  <c r="U73" i="3"/>
  <c r="K9" i="3"/>
  <c r="I9" i="3"/>
  <c r="G279" i="3"/>
  <c r="H80" i="3"/>
  <c r="L80" i="3" s="1"/>
  <c r="J80" i="3"/>
  <c r="H48" i="3"/>
  <c r="L48" i="3" s="1"/>
  <c r="U48" i="3"/>
  <c r="J48" i="3"/>
  <c r="J14" i="3"/>
  <c r="U14" i="3"/>
  <c r="H14" i="3"/>
  <c r="L14" i="3" s="1"/>
  <c r="J40" i="3"/>
  <c r="U40" i="3"/>
  <c r="H40" i="3"/>
  <c r="L40" i="3" s="1"/>
  <c r="J47" i="3"/>
  <c r="H47" i="3"/>
  <c r="L47" i="3" s="1"/>
  <c r="U47" i="3"/>
  <c r="K83" i="3"/>
  <c r="I83" i="3"/>
  <c r="M83" i="3" s="1"/>
  <c r="U83" i="3"/>
  <c r="U25" i="3"/>
  <c r="K25" i="3"/>
  <c r="I25" i="3"/>
  <c r="M25" i="3" s="1"/>
  <c r="K14" i="9"/>
  <c r="N14" i="9" s="1"/>
  <c r="L14" i="9"/>
  <c r="M14" i="9" s="1"/>
  <c r="A15" i="9"/>
  <c r="V15" i="6"/>
  <c r="K76" i="3"/>
  <c r="U76" i="3"/>
  <c r="I76" i="3"/>
  <c r="M76" i="3" s="1"/>
  <c r="K44" i="3"/>
  <c r="I44" i="3"/>
  <c r="M44" i="3" s="1"/>
  <c r="H15" i="3"/>
  <c r="L15" i="3" s="1"/>
  <c r="J15" i="3"/>
  <c r="U15" i="3"/>
  <c r="H79" i="3"/>
  <c r="L79" i="3" s="1"/>
  <c r="J79" i="3"/>
  <c r="J61" i="3"/>
  <c r="H61" i="3"/>
  <c r="L61" i="3" s="1"/>
  <c r="J43" i="3"/>
  <c r="H43" i="3"/>
  <c r="L43" i="3" s="1"/>
  <c r="U43" i="3"/>
  <c r="K45" i="3"/>
  <c r="I45" i="3"/>
  <c r="M45" i="3" s="1"/>
  <c r="J60" i="3"/>
  <c r="H60" i="3"/>
  <c r="L60" i="3" s="1"/>
  <c r="BD12" i="3"/>
  <c r="R12" i="3" s="1"/>
  <c r="U15" i="1"/>
  <c r="AB14" i="1"/>
  <c r="Z14" i="1"/>
  <c r="I77" i="3"/>
  <c r="M77" i="3" s="1"/>
  <c r="U77" i="3"/>
  <c r="K77" i="3"/>
  <c r="I42" i="3"/>
  <c r="M42" i="3" s="1"/>
  <c r="K42" i="3"/>
  <c r="H74" i="3"/>
  <c r="L74" i="3" s="1"/>
  <c r="J74" i="3"/>
  <c r="H52" i="3"/>
  <c r="L52" i="3" s="1"/>
  <c r="U52" i="3"/>
  <c r="J52" i="3"/>
  <c r="K46" i="3"/>
  <c r="I46" i="3"/>
  <c r="M46" i="3" s="1"/>
  <c r="U37" i="3"/>
  <c r="J37" i="3"/>
  <c r="H37" i="3"/>
  <c r="L37" i="3" s="1"/>
  <c r="H67" i="3"/>
  <c r="L67" i="3" s="1"/>
  <c r="J67" i="3"/>
  <c r="J54" i="3"/>
  <c r="H54" i="3"/>
  <c r="L54" i="3" s="1"/>
  <c r="U54" i="3"/>
  <c r="K66" i="3"/>
  <c r="U66" i="3"/>
  <c r="I66" i="3"/>
  <c r="M66" i="3" s="1"/>
  <c r="U31" i="3"/>
  <c r="J31" i="3"/>
  <c r="H31" i="3"/>
  <c r="L31" i="3" s="1"/>
  <c r="K59" i="3"/>
  <c r="U59" i="3"/>
  <c r="I59" i="3"/>
  <c r="M59" i="3" s="1"/>
  <c r="U51" i="3"/>
  <c r="J51" i="3"/>
  <c r="H51" i="3"/>
  <c r="L51" i="3" s="1"/>
  <c r="I16" i="3"/>
  <c r="M16" i="3" s="1"/>
  <c r="K16" i="3"/>
  <c r="U28" i="3"/>
  <c r="J28" i="3"/>
  <c r="H28" i="3"/>
  <c r="L28" i="3" s="1"/>
  <c r="K55" i="3"/>
  <c r="I55" i="3"/>
  <c r="M55" i="3" s="1"/>
  <c r="J73" i="3"/>
  <c r="H73" i="3"/>
  <c r="L73" i="3" s="1"/>
  <c r="B10" i="9"/>
  <c r="E9" i="9"/>
  <c r="F9" i="9"/>
  <c r="D9" i="9"/>
  <c r="C9" i="9"/>
  <c r="H9" i="9"/>
  <c r="G9" i="9"/>
  <c r="I9" i="9"/>
  <c r="P10" i="6"/>
  <c r="BB11" i="3" l="1"/>
  <c r="P11" i="3" s="1"/>
  <c r="S14" i="1"/>
  <c r="K279" i="3"/>
  <c r="B13" i="6"/>
  <c r="L12" i="6"/>
  <c r="H12" i="6"/>
  <c r="D12" i="6"/>
  <c r="C12" i="6"/>
  <c r="I12" i="6"/>
  <c r="J12" i="6" s="1"/>
  <c r="K12" i="6" s="1"/>
  <c r="Y13" i="6"/>
  <c r="M9" i="3"/>
  <c r="M279" i="3" s="1"/>
  <c r="I279" i="3"/>
  <c r="V16" i="6"/>
  <c r="L15" i="9"/>
  <c r="M15" i="9" s="1"/>
  <c r="K15" i="9"/>
  <c r="N15" i="9" s="1"/>
  <c r="A16" i="9"/>
  <c r="X11" i="6"/>
  <c r="S12" i="6"/>
  <c r="A18" i="6"/>
  <c r="U17" i="6"/>
  <c r="T17" i="6"/>
  <c r="BD13" i="3"/>
  <c r="R13" i="3" s="1"/>
  <c r="U16" i="1"/>
  <c r="AB15" i="1"/>
  <c r="Z15" i="1"/>
  <c r="G10" i="9"/>
  <c r="B11" i="9"/>
  <c r="F10" i="9"/>
  <c r="H10" i="9"/>
  <c r="D10" i="9"/>
  <c r="I10" i="9"/>
  <c r="E10" i="9"/>
  <c r="C10" i="9"/>
  <c r="P12" i="6"/>
  <c r="H279" i="3"/>
  <c r="L9" i="3"/>
  <c r="L279" i="3" s="1"/>
  <c r="R17" i="1"/>
  <c r="BA14" i="3"/>
  <c r="O14" i="3" s="1"/>
  <c r="P10" i="9"/>
  <c r="BC12" i="3"/>
  <c r="Q12" i="3" s="1"/>
  <c r="Y14" i="1"/>
  <c r="T15" i="1"/>
  <c r="AA14" i="1"/>
  <c r="P9" i="9"/>
  <c r="J279" i="3"/>
  <c r="BB12" i="3" l="1"/>
  <c r="P12" i="3" s="1"/>
  <c r="S15" i="1"/>
  <c r="AA15" i="1"/>
  <c r="BC13" i="3"/>
  <c r="Q13" i="3" s="1"/>
  <c r="T16" i="1"/>
  <c r="Y15" i="1"/>
  <c r="H11" i="9"/>
  <c r="I11" i="9"/>
  <c r="P11" i="9" s="1"/>
  <c r="C11" i="9"/>
  <c r="B12" i="9"/>
  <c r="D11" i="9"/>
  <c r="F11" i="9"/>
  <c r="E11" i="9"/>
  <c r="G11" i="9"/>
  <c r="AB16" i="1"/>
  <c r="BD14" i="3"/>
  <c r="R14" i="3" s="1"/>
  <c r="U17" i="1"/>
  <c r="Z16" i="1"/>
  <c r="L16" i="9"/>
  <c r="M16" i="9" s="1"/>
  <c r="K16" i="9"/>
  <c r="N16" i="9" s="1"/>
  <c r="A17" i="9"/>
  <c r="H280" i="3"/>
  <c r="W4" i="4" s="1"/>
  <c r="I13" i="6"/>
  <c r="J13" i="6" s="1"/>
  <c r="K13" i="6" s="1"/>
  <c r="Y14" i="6"/>
  <c r="C13" i="6"/>
  <c r="L13" i="6"/>
  <c r="P13" i="6" s="1"/>
  <c r="B14" i="6"/>
  <c r="H13" i="6"/>
  <c r="D13" i="6"/>
  <c r="J280" i="3"/>
  <c r="J281" i="3" s="1"/>
  <c r="BA15" i="3"/>
  <c r="O15" i="3" s="1"/>
  <c r="R18" i="1"/>
  <c r="U18" i="6"/>
  <c r="T18" i="6"/>
  <c r="A19" i="6"/>
  <c r="K280" i="3"/>
  <c r="C280" i="3" s="1"/>
  <c r="I280" i="3"/>
  <c r="I281" i="3" s="1"/>
  <c r="X12" i="6"/>
  <c r="S13" i="6"/>
  <c r="V17" i="6"/>
  <c r="H281" i="3" l="1"/>
  <c r="K281" i="3"/>
  <c r="BB13" i="3"/>
  <c r="P13" i="3" s="1"/>
  <c r="S16" i="1"/>
  <c r="BA16" i="3"/>
  <c r="O16" i="3" s="1"/>
  <c r="R19" i="1"/>
  <c r="A18" i="9"/>
  <c r="K17" i="9"/>
  <c r="N17" i="9" s="1"/>
  <c r="L17" i="9"/>
  <c r="M17" i="9" s="1"/>
  <c r="BD15" i="3"/>
  <c r="R15" i="3" s="1"/>
  <c r="AB17" i="1"/>
  <c r="Z17" i="1"/>
  <c r="U18" i="1"/>
  <c r="T19" i="6"/>
  <c r="U19" i="6"/>
  <c r="A20" i="6"/>
  <c r="X13" i="6"/>
  <c r="S14" i="6"/>
  <c r="L14" i="6"/>
  <c r="H14" i="6"/>
  <c r="Y15" i="6"/>
  <c r="I14" i="6"/>
  <c r="J14" i="6" s="1"/>
  <c r="K14" i="6" s="1"/>
  <c r="B15" i="6"/>
  <c r="C14" i="6"/>
  <c r="D14" i="6"/>
  <c r="Y16" i="1"/>
  <c r="AA16" i="1"/>
  <c r="T17" i="1"/>
  <c r="BC14" i="3"/>
  <c r="Q14" i="3" s="1"/>
  <c r="V18" i="6"/>
  <c r="P1" i="3"/>
  <c r="P14" i="6"/>
  <c r="AE6" i="4"/>
  <c r="AI6" i="4"/>
  <c r="AF6" i="4"/>
  <c r="X4" i="4"/>
  <c r="AH6" i="4" s="1"/>
  <c r="H12" i="9"/>
  <c r="F12" i="9"/>
  <c r="D12" i="9"/>
  <c r="G12" i="9"/>
  <c r="C12" i="9"/>
  <c r="E12" i="9"/>
  <c r="B13" i="9"/>
  <c r="I12" i="9"/>
  <c r="BB14" i="3" l="1"/>
  <c r="P14" i="3" s="1"/>
  <c r="S17" i="1"/>
  <c r="P12" i="9"/>
  <c r="C13" i="9"/>
  <c r="G13" i="9"/>
  <c r="E13" i="9"/>
  <c r="D13" i="9"/>
  <c r="H13" i="9"/>
  <c r="B14" i="9"/>
  <c r="I13" i="9"/>
  <c r="F13" i="9"/>
  <c r="J2" i="4"/>
  <c r="L1" i="2"/>
  <c r="AC1" i="4" s="1"/>
  <c r="M2" i="8"/>
  <c r="J2" i="5"/>
  <c r="A3" i="5" s="1"/>
  <c r="T20" i="6"/>
  <c r="A21" i="6"/>
  <c r="U20" i="6"/>
  <c r="A19" i="9"/>
  <c r="L18" i="9"/>
  <c r="M18" i="9" s="1"/>
  <c r="K18" i="9"/>
  <c r="N18" i="9" s="1"/>
  <c r="AA17" i="1"/>
  <c r="Y17" i="1"/>
  <c r="T18" i="1"/>
  <c r="BC15" i="3"/>
  <c r="Q15" i="3" s="1"/>
  <c r="X14" i="6"/>
  <c r="S15" i="6"/>
  <c r="R20" i="1"/>
  <c r="BA17" i="3"/>
  <c r="O17" i="3" s="1"/>
  <c r="V19" i="6"/>
  <c r="L15" i="6"/>
  <c r="H15" i="6"/>
  <c r="C15" i="6"/>
  <c r="B16" i="6"/>
  <c r="Y16" i="6"/>
  <c r="D15" i="6"/>
  <c r="I15" i="6"/>
  <c r="J15" i="6" s="1"/>
  <c r="K15" i="6" s="1"/>
  <c r="U19" i="1"/>
  <c r="Z18" i="1"/>
  <c r="AB18" i="1"/>
  <c r="BD16" i="3"/>
  <c r="R16" i="3" s="1"/>
  <c r="V20" i="6" l="1"/>
  <c r="P284" i="3"/>
  <c r="O284" i="3" s="1"/>
  <c r="M284" i="3"/>
  <c r="H3" i="4"/>
  <c r="A3" i="4"/>
  <c r="J3" i="8"/>
  <c r="A3" i="8"/>
  <c r="BB15" i="3"/>
  <c r="P15" i="3" s="1"/>
  <c r="S18" i="1"/>
  <c r="U21" i="6"/>
  <c r="T21" i="6"/>
  <c r="A22" i="6"/>
  <c r="BD17" i="3"/>
  <c r="R17" i="3" s="1"/>
  <c r="U20" i="1"/>
  <c r="Z19" i="1"/>
  <c r="AB19" i="1"/>
  <c r="R21" i="1"/>
  <c r="BA18" i="3"/>
  <c r="O18" i="3" s="1"/>
  <c r="L16" i="6"/>
  <c r="P16" i="6" s="1"/>
  <c r="D16" i="6"/>
  <c r="Y17" i="6"/>
  <c r="C16" i="6"/>
  <c r="B17" i="6"/>
  <c r="H16" i="6"/>
  <c r="I16" i="6"/>
  <c r="J16" i="6" s="1"/>
  <c r="K16" i="6" s="1"/>
  <c r="AA18" i="1"/>
  <c r="Y18" i="1"/>
  <c r="BC16" i="3"/>
  <c r="Q16" i="3" s="1"/>
  <c r="T19" i="1"/>
  <c r="P15" i="6"/>
  <c r="V21" i="6"/>
  <c r="X15" i="6"/>
  <c r="S16" i="6"/>
  <c r="A20" i="9"/>
  <c r="K19" i="9"/>
  <c r="N19" i="9" s="1"/>
  <c r="L19" i="9"/>
  <c r="M19" i="9" s="1"/>
  <c r="E14" i="9"/>
  <c r="C14" i="9"/>
  <c r="G14" i="9"/>
  <c r="D14" i="9"/>
  <c r="I14" i="9"/>
  <c r="F14" i="9"/>
  <c r="B15" i="9"/>
  <c r="H14" i="9"/>
  <c r="P13" i="9"/>
  <c r="K284" i="3" l="1"/>
  <c r="M9" i="4"/>
  <c r="P283" i="3"/>
  <c r="O283" i="3" s="1"/>
  <c r="M283" i="3"/>
  <c r="M285" i="3"/>
  <c r="P285" i="3"/>
  <c r="O285" i="3" s="1"/>
  <c r="BB16" i="3"/>
  <c r="P16" i="3" s="1"/>
  <c r="S19" i="1"/>
  <c r="U21" i="1"/>
  <c r="AB20" i="1"/>
  <c r="Z20" i="1"/>
  <c r="BD18" i="3"/>
  <c r="R18" i="3" s="1"/>
  <c r="I15" i="9"/>
  <c r="P15" i="9" s="1"/>
  <c r="F15" i="9"/>
  <c r="B16" i="9"/>
  <c r="D15" i="9"/>
  <c r="H15" i="9"/>
  <c r="E15" i="9"/>
  <c r="G15" i="9"/>
  <c r="C15" i="9"/>
  <c r="Y19" i="1"/>
  <c r="T20" i="1"/>
  <c r="BC17" i="3"/>
  <c r="Q17" i="3" s="1"/>
  <c r="AA19" i="1"/>
  <c r="K20" i="9"/>
  <c r="N20" i="9" s="1"/>
  <c r="L20" i="9"/>
  <c r="M20" i="9" s="1"/>
  <c r="A21" i="9"/>
  <c r="R22" i="1"/>
  <c r="BA19" i="3"/>
  <c r="O19" i="3" s="1"/>
  <c r="X16" i="6"/>
  <c r="S17" i="6"/>
  <c r="P14" i="9"/>
  <c r="C17" i="6"/>
  <c r="I17" i="6"/>
  <c r="Y18" i="6"/>
  <c r="J17" i="6"/>
  <c r="K17" i="6" s="1"/>
  <c r="H17" i="6"/>
  <c r="L17" i="6"/>
  <c r="D17" i="6"/>
  <c r="B18" i="6"/>
  <c r="U22" i="6"/>
  <c r="A23" i="6"/>
  <c r="T22" i="6"/>
  <c r="V22" i="6" l="1"/>
  <c r="K285" i="3"/>
  <c r="K283" i="3"/>
  <c r="S20" i="1"/>
  <c r="BB17" i="3"/>
  <c r="P17" i="3" s="1"/>
  <c r="T23" i="6"/>
  <c r="A24" i="6"/>
  <c r="U23" i="6"/>
  <c r="D18" i="6"/>
  <c r="I18" i="6"/>
  <c r="J18" i="6" s="1"/>
  <c r="K18" i="6" s="1"/>
  <c r="L18" i="6"/>
  <c r="Y19" i="6"/>
  <c r="C18" i="6"/>
  <c r="H18" i="6"/>
  <c r="B19" i="6"/>
  <c r="K21" i="9"/>
  <c r="N21" i="9" s="1"/>
  <c r="L21" i="9"/>
  <c r="M21" i="9" s="1"/>
  <c r="A22" i="9"/>
  <c r="BC18" i="3"/>
  <c r="Q18" i="3" s="1"/>
  <c r="AA20" i="1"/>
  <c r="T21" i="1"/>
  <c r="Y20" i="1"/>
  <c r="H16" i="9"/>
  <c r="D16" i="9"/>
  <c r="C16" i="9"/>
  <c r="G16" i="9"/>
  <c r="I16" i="9"/>
  <c r="E16" i="9"/>
  <c r="F16" i="9"/>
  <c r="B17" i="9"/>
  <c r="P18" i="6"/>
  <c r="X17" i="6"/>
  <c r="S18" i="6"/>
  <c r="BA20" i="3"/>
  <c r="O20" i="3" s="1"/>
  <c r="R23" i="1"/>
  <c r="P17" i="6"/>
  <c r="P16" i="9"/>
  <c r="AB21" i="1"/>
  <c r="U22" i="1"/>
  <c r="Z21" i="1"/>
  <c r="BD19" i="3"/>
  <c r="R19" i="3" s="1"/>
  <c r="V23" i="6" l="1"/>
  <c r="S21" i="1"/>
  <c r="BB18" i="3"/>
  <c r="P18" i="3" s="1"/>
  <c r="Z22" i="1"/>
  <c r="BD20" i="3"/>
  <c r="R20" i="3" s="1"/>
  <c r="U23" i="1"/>
  <c r="AB22" i="1"/>
  <c r="X18" i="6"/>
  <c r="S19" i="6"/>
  <c r="T22" i="1"/>
  <c r="Y21" i="1"/>
  <c r="BC19" i="3"/>
  <c r="Q19" i="3" s="1"/>
  <c r="AA21" i="1"/>
  <c r="T24" i="6"/>
  <c r="U24" i="6"/>
  <c r="A25" i="6"/>
  <c r="D19" i="6"/>
  <c r="H19" i="6"/>
  <c r="B20" i="6"/>
  <c r="I19" i="6"/>
  <c r="J19" i="6" s="1"/>
  <c r="K19" i="6" s="1"/>
  <c r="L19" i="6"/>
  <c r="Y20" i="6"/>
  <c r="C19" i="6"/>
  <c r="R24" i="1"/>
  <c r="BA21" i="3"/>
  <c r="O21" i="3" s="1"/>
  <c r="B18" i="9"/>
  <c r="I17" i="9"/>
  <c r="E17" i="9"/>
  <c r="F17" i="9"/>
  <c r="C17" i="9"/>
  <c r="G17" i="9"/>
  <c r="D17" i="9"/>
  <c r="H17" i="9"/>
  <c r="K22" i="9"/>
  <c r="N22" i="9" s="1"/>
  <c r="L22" i="9"/>
  <c r="M22" i="9" s="1"/>
  <c r="A23" i="9"/>
  <c r="V24" i="6" l="1"/>
  <c r="S22" i="1"/>
  <c r="BB19" i="3"/>
  <c r="P19" i="3" s="1"/>
  <c r="P19" i="6"/>
  <c r="T23" i="1"/>
  <c r="AA22" i="1"/>
  <c r="BC20" i="3"/>
  <c r="Q20" i="3" s="1"/>
  <c r="Y22" i="1"/>
  <c r="Z23" i="1"/>
  <c r="AB23" i="1"/>
  <c r="U24" i="1"/>
  <c r="BD21" i="3"/>
  <c r="R21" i="3" s="1"/>
  <c r="G18" i="9"/>
  <c r="H18" i="9"/>
  <c r="I18" i="9"/>
  <c r="E18" i="9"/>
  <c r="D18" i="9"/>
  <c r="C18" i="9"/>
  <c r="B19" i="9"/>
  <c r="F18" i="9"/>
  <c r="P17" i="9"/>
  <c r="A26" i="6"/>
  <c r="T25" i="6"/>
  <c r="U25" i="6"/>
  <c r="X19" i="6"/>
  <c r="S20" i="6"/>
  <c r="D20" i="6"/>
  <c r="L20" i="6"/>
  <c r="P20" i="6" s="1"/>
  <c r="B21" i="6"/>
  <c r="I20" i="6"/>
  <c r="J20" i="6" s="1"/>
  <c r="K20" i="6" s="1"/>
  <c r="C20" i="6"/>
  <c r="Y21" i="6"/>
  <c r="H20" i="6"/>
  <c r="A24" i="9"/>
  <c r="L23" i="9"/>
  <c r="M23" i="9" s="1"/>
  <c r="K23" i="9"/>
  <c r="N23" i="9" s="1"/>
  <c r="R25" i="1"/>
  <c r="BA22" i="3"/>
  <c r="O22" i="3" s="1"/>
  <c r="V25" i="6" l="1"/>
  <c r="S23" i="1"/>
  <c r="BB20" i="3"/>
  <c r="P20" i="3" s="1"/>
  <c r="R26" i="1"/>
  <c r="BA23" i="3"/>
  <c r="O23" i="3" s="1"/>
  <c r="Y22" i="6"/>
  <c r="D21" i="6"/>
  <c r="C21" i="6"/>
  <c r="L21" i="6"/>
  <c r="I21" i="6"/>
  <c r="J21" i="6"/>
  <c r="K21" i="6" s="1"/>
  <c r="B22" i="6"/>
  <c r="H21" i="6"/>
  <c r="X20" i="6"/>
  <c r="S21" i="6"/>
  <c r="A27" i="6"/>
  <c r="T26" i="6"/>
  <c r="U26" i="6"/>
  <c r="I19" i="9"/>
  <c r="E19" i="9"/>
  <c r="B20" i="9"/>
  <c r="G19" i="9"/>
  <c r="H19" i="9"/>
  <c r="F19" i="9"/>
  <c r="D19" i="9"/>
  <c r="C19" i="9"/>
  <c r="P19" i="9"/>
  <c r="U25" i="1"/>
  <c r="BD22" i="3"/>
  <c r="R22" i="3" s="1"/>
  <c r="AB24" i="1"/>
  <c r="Z24" i="1"/>
  <c r="P21" i="6"/>
  <c r="P18" i="9"/>
  <c r="A25" i="9"/>
  <c r="K24" i="9"/>
  <c r="N24" i="9" s="1"/>
  <c r="L24" i="9"/>
  <c r="M24" i="9" s="1"/>
  <c r="T24" i="1"/>
  <c r="Y23" i="1"/>
  <c r="AA23" i="1"/>
  <c r="BC21" i="3"/>
  <c r="Q21" i="3" s="1"/>
  <c r="V26" i="6" l="1"/>
  <c r="BB21" i="3"/>
  <c r="P21" i="3" s="1"/>
  <c r="S24" i="1"/>
  <c r="K25" i="9"/>
  <c r="N25" i="9" s="1"/>
  <c r="L25" i="9"/>
  <c r="M25" i="9" s="1"/>
  <c r="A26" i="9"/>
  <c r="Z25" i="1"/>
  <c r="BD23" i="3"/>
  <c r="R23" i="3" s="1"/>
  <c r="U26" i="1"/>
  <c r="AB25" i="1"/>
  <c r="AA24" i="1"/>
  <c r="BC22" i="3"/>
  <c r="Q22" i="3" s="1"/>
  <c r="Y24" i="1"/>
  <c r="T25" i="1"/>
  <c r="A28" i="6"/>
  <c r="U27" i="6"/>
  <c r="T27" i="6"/>
  <c r="V27" i="6" s="1"/>
  <c r="H22" i="6"/>
  <c r="B23" i="6"/>
  <c r="C22" i="6"/>
  <c r="Y23" i="6"/>
  <c r="L22" i="6"/>
  <c r="P22" i="6" s="1"/>
  <c r="D22" i="6"/>
  <c r="I22" i="6"/>
  <c r="J22" i="6" s="1"/>
  <c r="K22" i="6" s="1"/>
  <c r="X21" i="6"/>
  <c r="S22" i="6"/>
  <c r="R27" i="1"/>
  <c r="BA24" i="3"/>
  <c r="O24" i="3" s="1"/>
  <c r="F20" i="9"/>
  <c r="I20" i="9"/>
  <c r="P20" i="9" s="1"/>
  <c r="G20" i="9"/>
  <c r="D20" i="9"/>
  <c r="C20" i="9"/>
  <c r="B21" i="9"/>
  <c r="H20" i="9"/>
  <c r="E20" i="9"/>
  <c r="BB22" i="3" l="1"/>
  <c r="P22" i="3" s="1"/>
  <c r="S25" i="1"/>
  <c r="G21" i="9"/>
  <c r="D21" i="9"/>
  <c r="H21" i="9"/>
  <c r="E21" i="9"/>
  <c r="I21" i="9"/>
  <c r="B22" i="9"/>
  <c r="C21" i="9"/>
  <c r="F21" i="9"/>
  <c r="P21" i="9"/>
  <c r="X22" i="6"/>
  <c r="S23" i="6"/>
  <c r="C23" i="6"/>
  <c r="L23" i="6"/>
  <c r="P23" i="6" s="1"/>
  <c r="H23" i="6"/>
  <c r="I23" i="6"/>
  <c r="J23" i="6" s="1"/>
  <c r="K23" i="6" s="1"/>
  <c r="D23" i="6"/>
  <c r="B24" i="6"/>
  <c r="Y24" i="6"/>
  <c r="BC23" i="3"/>
  <c r="Q23" i="3" s="1"/>
  <c r="AA25" i="1"/>
  <c r="T26" i="1"/>
  <c r="Y25" i="1"/>
  <c r="R28" i="1"/>
  <c r="BA25" i="3"/>
  <c r="O25" i="3" s="1"/>
  <c r="A27" i="9"/>
  <c r="L26" i="9"/>
  <c r="M26" i="9" s="1"/>
  <c r="K26" i="9"/>
  <c r="N26" i="9" s="1"/>
  <c r="T28" i="6"/>
  <c r="U28" i="6"/>
  <c r="A29" i="6"/>
  <c r="BD24" i="3"/>
  <c r="R24" i="3" s="1"/>
  <c r="U27" i="1"/>
  <c r="AB26" i="1"/>
  <c r="Z26" i="1"/>
  <c r="V28" i="6" l="1"/>
  <c r="BB23" i="3"/>
  <c r="P23" i="3" s="1"/>
  <c r="S26" i="1"/>
  <c r="I24" i="6"/>
  <c r="J24" i="6" s="1"/>
  <c r="K24" i="6" s="1"/>
  <c r="Y25" i="6"/>
  <c r="B25" i="6"/>
  <c r="L24" i="6"/>
  <c r="P24" i="6" s="1"/>
  <c r="D24" i="6"/>
  <c r="H24" i="6"/>
  <c r="C24" i="6"/>
  <c r="BD25" i="3"/>
  <c r="R25" i="3" s="1"/>
  <c r="U28" i="1"/>
  <c r="Z27" i="1"/>
  <c r="AB27" i="1"/>
  <c r="F22" i="9"/>
  <c r="D22" i="9"/>
  <c r="G22" i="9"/>
  <c r="B23" i="9"/>
  <c r="C22" i="9"/>
  <c r="H22" i="9"/>
  <c r="I22" i="9"/>
  <c r="P22" i="9" s="1"/>
  <c r="E22" i="9"/>
  <c r="A28" i="9"/>
  <c r="K27" i="9"/>
  <c r="N27" i="9" s="1"/>
  <c r="L27" i="9"/>
  <c r="M27" i="9" s="1"/>
  <c r="A30" i="6"/>
  <c r="U29" i="6"/>
  <c r="T29" i="6"/>
  <c r="V29" i="6" s="1"/>
  <c r="R29" i="1"/>
  <c r="BA26" i="3"/>
  <c r="O26" i="3" s="1"/>
  <c r="Y26" i="1"/>
  <c r="BC24" i="3"/>
  <c r="Q24" i="3" s="1"/>
  <c r="T27" i="1"/>
  <c r="AA26" i="1"/>
  <c r="X23" i="6"/>
  <c r="S24" i="6"/>
  <c r="S27" i="1" l="1"/>
  <c r="BB24" i="3"/>
  <c r="P24" i="3" s="1"/>
  <c r="U29" i="1"/>
  <c r="AB28" i="1"/>
  <c r="BD26" i="3"/>
  <c r="R26" i="3" s="1"/>
  <c r="Z28" i="1"/>
  <c r="T28" i="1"/>
  <c r="Y27" i="1"/>
  <c r="AA27" i="1"/>
  <c r="BC25" i="3"/>
  <c r="Q25" i="3" s="1"/>
  <c r="H23" i="9"/>
  <c r="C23" i="9"/>
  <c r="G23" i="9"/>
  <c r="D23" i="9"/>
  <c r="I23" i="9"/>
  <c r="P23" i="9" s="1"/>
  <c r="E23" i="9"/>
  <c r="B24" i="9"/>
  <c r="F23" i="9"/>
  <c r="BA27" i="3"/>
  <c r="O27" i="3" s="1"/>
  <c r="R30" i="1"/>
  <c r="X24" i="6"/>
  <c r="S25" i="6"/>
  <c r="U30" i="6"/>
  <c r="T30" i="6"/>
  <c r="A31" i="6"/>
  <c r="A29" i="9"/>
  <c r="L28" i="9"/>
  <c r="M28" i="9" s="1"/>
  <c r="K28" i="9"/>
  <c r="N28" i="9" s="1"/>
  <c r="C25" i="6"/>
  <c r="L25" i="6"/>
  <c r="P25" i="6" s="1"/>
  <c r="I25" i="6"/>
  <c r="J25" i="6" s="1"/>
  <c r="K25" i="6" s="1"/>
  <c r="D25" i="6"/>
  <c r="B26" i="6"/>
  <c r="H25" i="6"/>
  <c r="Y26" i="6"/>
  <c r="V30" i="6" l="1"/>
  <c r="S28" i="1"/>
  <c r="BB25" i="3"/>
  <c r="P25" i="3" s="1"/>
  <c r="A32" i="6"/>
  <c r="U31" i="6"/>
  <c r="T31" i="6"/>
  <c r="V31" i="6" s="1"/>
  <c r="F24" i="9"/>
  <c r="D24" i="9"/>
  <c r="C24" i="9"/>
  <c r="I24" i="9"/>
  <c r="G24" i="9"/>
  <c r="E24" i="9"/>
  <c r="H24" i="9"/>
  <c r="B25" i="9"/>
  <c r="X25" i="6"/>
  <c r="S26" i="6"/>
  <c r="Y27" i="6"/>
  <c r="D26" i="6"/>
  <c r="B27" i="6"/>
  <c r="L26" i="6"/>
  <c r="H26" i="6"/>
  <c r="C26" i="6"/>
  <c r="I26" i="6"/>
  <c r="J26" i="6"/>
  <c r="K26" i="6" s="1"/>
  <c r="BA28" i="3"/>
  <c r="O28" i="3" s="1"/>
  <c r="R31" i="1"/>
  <c r="K29" i="9"/>
  <c r="N29" i="9" s="1"/>
  <c r="L29" i="9"/>
  <c r="M29" i="9" s="1"/>
  <c r="A30" i="9"/>
  <c r="P24" i="9"/>
  <c r="AA28" i="1"/>
  <c r="T29" i="1"/>
  <c r="Y28" i="1"/>
  <c r="BC26" i="3"/>
  <c r="Q26" i="3" s="1"/>
  <c r="BD27" i="3"/>
  <c r="R27" i="3" s="1"/>
  <c r="AB29" i="1"/>
  <c r="U30" i="1"/>
  <c r="Z29" i="1"/>
  <c r="S29" i="1" l="1"/>
  <c r="BB26" i="3"/>
  <c r="P26" i="3" s="1"/>
  <c r="BC27" i="3"/>
  <c r="Q27" i="3" s="1"/>
  <c r="T30" i="1"/>
  <c r="AA29" i="1"/>
  <c r="Y29" i="1"/>
  <c r="BA29" i="3"/>
  <c r="O29" i="3" s="1"/>
  <c r="R32" i="1"/>
  <c r="Y28" i="6"/>
  <c r="B28" i="6"/>
  <c r="I27" i="6"/>
  <c r="J27" i="6" s="1"/>
  <c r="K27" i="6" s="1"/>
  <c r="C27" i="6"/>
  <c r="H27" i="6"/>
  <c r="D27" i="6"/>
  <c r="L27" i="6"/>
  <c r="X26" i="6"/>
  <c r="S27" i="6"/>
  <c r="T32" i="6"/>
  <c r="U32" i="6"/>
  <c r="A33" i="6"/>
  <c r="U31" i="1"/>
  <c r="BD28" i="3"/>
  <c r="R28" i="3" s="1"/>
  <c r="AB30" i="1"/>
  <c r="Z30" i="1"/>
  <c r="L30" i="9"/>
  <c r="M30" i="9" s="1"/>
  <c r="K30" i="9"/>
  <c r="N30" i="9" s="1"/>
  <c r="A31" i="9"/>
  <c r="P27" i="6"/>
  <c r="P26" i="6"/>
  <c r="F25" i="9"/>
  <c r="G25" i="9"/>
  <c r="C25" i="9"/>
  <c r="I25" i="9"/>
  <c r="P25" i="9" s="1"/>
  <c r="B26" i="9"/>
  <c r="H25" i="9"/>
  <c r="D25" i="9"/>
  <c r="E25" i="9"/>
  <c r="V32" i="6" l="1"/>
  <c r="S30" i="1"/>
  <c r="BB27" i="3"/>
  <c r="P27" i="3" s="1"/>
  <c r="U32" i="1"/>
  <c r="AB31" i="1"/>
  <c r="Z31" i="1"/>
  <c r="BD29" i="3"/>
  <c r="R29" i="3" s="1"/>
  <c r="R33" i="1"/>
  <c r="BA30" i="3"/>
  <c r="O30" i="3" s="1"/>
  <c r="BC28" i="3"/>
  <c r="Q28" i="3" s="1"/>
  <c r="AA30" i="1"/>
  <c r="Y30" i="1"/>
  <c r="T31" i="1"/>
  <c r="H26" i="9"/>
  <c r="E26" i="9"/>
  <c r="B27" i="9"/>
  <c r="G26" i="9"/>
  <c r="D26" i="9"/>
  <c r="F26" i="9"/>
  <c r="C26" i="9"/>
  <c r="I26" i="9"/>
  <c r="X27" i="6"/>
  <c r="S28" i="6"/>
  <c r="P26" i="9"/>
  <c r="A32" i="9"/>
  <c r="K31" i="9"/>
  <c r="N31" i="9" s="1"/>
  <c r="L31" i="9"/>
  <c r="M31" i="9" s="1"/>
  <c r="T33" i="6"/>
  <c r="U33" i="6"/>
  <c r="A34" i="6"/>
  <c r="Y29" i="6"/>
  <c r="L28" i="6"/>
  <c r="P28" i="6" s="1"/>
  <c r="B29" i="6"/>
  <c r="H28" i="6"/>
  <c r="C28" i="6"/>
  <c r="D28" i="6"/>
  <c r="I28" i="6"/>
  <c r="J28" i="6" s="1"/>
  <c r="K28" i="6" s="1"/>
  <c r="V33" i="6" l="1"/>
  <c r="S31" i="1"/>
  <c r="BB28" i="3"/>
  <c r="P28" i="3" s="1"/>
  <c r="AA31" i="1"/>
  <c r="Y31" i="1"/>
  <c r="T32" i="1"/>
  <c r="BC29" i="3"/>
  <c r="Q29" i="3" s="1"/>
  <c r="U34" i="6"/>
  <c r="T34" i="6"/>
  <c r="A35" i="6"/>
  <c r="G27" i="9"/>
  <c r="F27" i="9"/>
  <c r="H27" i="9"/>
  <c r="I27" i="9"/>
  <c r="P27" i="9" s="1"/>
  <c r="C27" i="9"/>
  <c r="B28" i="9"/>
  <c r="D27" i="9"/>
  <c r="E27" i="9"/>
  <c r="R34" i="1"/>
  <c r="BA31" i="3"/>
  <c r="O31" i="3" s="1"/>
  <c r="BD30" i="3"/>
  <c r="R30" i="3" s="1"/>
  <c r="Z32" i="1"/>
  <c r="U33" i="1"/>
  <c r="AB32" i="1"/>
  <c r="L29" i="6"/>
  <c r="Y30" i="6"/>
  <c r="B30" i="6"/>
  <c r="H29" i="6"/>
  <c r="D29" i="6"/>
  <c r="C29" i="6"/>
  <c r="I29" i="6"/>
  <c r="J29" i="6"/>
  <c r="K29" i="6" s="1"/>
  <c r="K32" i="9"/>
  <c r="N32" i="9" s="1"/>
  <c r="L32" i="9"/>
  <c r="M32" i="9" s="1"/>
  <c r="A33" i="9"/>
  <c r="X28" i="6"/>
  <c r="S29" i="6"/>
  <c r="V34" i="6" l="1"/>
  <c r="BB29" i="3"/>
  <c r="P29" i="3" s="1"/>
  <c r="S32" i="1"/>
  <c r="B31" i="6"/>
  <c r="C30" i="6"/>
  <c r="H30" i="6"/>
  <c r="D30" i="6"/>
  <c r="Y31" i="6"/>
  <c r="L30" i="6"/>
  <c r="P30" i="6" s="1"/>
  <c r="I30" i="6"/>
  <c r="J30" i="6" s="1"/>
  <c r="K30" i="6" s="1"/>
  <c r="H28" i="9"/>
  <c r="F28" i="9"/>
  <c r="D28" i="9"/>
  <c r="C28" i="9"/>
  <c r="B29" i="9"/>
  <c r="G28" i="9"/>
  <c r="I28" i="9"/>
  <c r="E28" i="9"/>
  <c r="Z33" i="1"/>
  <c r="AB33" i="1"/>
  <c r="U34" i="1"/>
  <c r="BD31" i="3"/>
  <c r="R31" i="3" s="1"/>
  <c r="BA32" i="3"/>
  <c r="O32" i="3" s="1"/>
  <c r="R35" i="1"/>
  <c r="A36" i="6"/>
  <c r="T35" i="6"/>
  <c r="U35" i="6"/>
  <c r="Y32" i="1"/>
  <c r="T33" i="1"/>
  <c r="BC30" i="3"/>
  <c r="Q30" i="3" s="1"/>
  <c r="AA32" i="1"/>
  <c r="P29" i="6"/>
  <c r="A34" i="9"/>
  <c r="K33" i="9"/>
  <c r="N33" i="9" s="1"/>
  <c r="L33" i="9"/>
  <c r="M33" i="9" s="1"/>
  <c r="X29" i="6"/>
  <c r="S30" i="6"/>
  <c r="P28" i="9"/>
  <c r="V35" i="6" l="1"/>
  <c r="BB30" i="3"/>
  <c r="P30" i="3" s="1"/>
  <c r="S33" i="1"/>
  <c r="G29" i="9"/>
  <c r="I29" i="9"/>
  <c r="P29" i="9" s="1"/>
  <c r="H29" i="9"/>
  <c r="D29" i="9"/>
  <c r="B30" i="9"/>
  <c r="F29" i="9"/>
  <c r="E29" i="9"/>
  <c r="C29" i="9"/>
  <c r="Y33" i="1"/>
  <c r="T34" i="1"/>
  <c r="AA33" i="1"/>
  <c r="BC31" i="3"/>
  <c r="Q31" i="3" s="1"/>
  <c r="T36" i="6"/>
  <c r="U36" i="6"/>
  <c r="A37" i="6"/>
  <c r="BD32" i="3"/>
  <c r="R32" i="3" s="1"/>
  <c r="AB34" i="1"/>
  <c r="U35" i="1"/>
  <c r="Z34" i="1"/>
  <c r="H31" i="6"/>
  <c r="D31" i="6"/>
  <c r="I31" i="6"/>
  <c r="J31" i="6" s="1"/>
  <c r="K31" i="6" s="1"/>
  <c r="Y32" i="6"/>
  <c r="L31" i="6"/>
  <c r="C31" i="6"/>
  <c r="B32" i="6"/>
  <c r="X30" i="6"/>
  <c r="S31" i="6"/>
  <c r="A35" i="9"/>
  <c r="L34" i="9"/>
  <c r="M34" i="9" s="1"/>
  <c r="K34" i="9"/>
  <c r="N34" i="9" s="1"/>
  <c r="R36" i="1"/>
  <c r="BA33" i="3"/>
  <c r="O33" i="3" s="1"/>
  <c r="P31" i="6"/>
  <c r="S34" i="1" l="1"/>
  <c r="BB31" i="3"/>
  <c r="P31" i="3" s="1"/>
  <c r="V36" i="6"/>
  <c r="A36" i="9"/>
  <c r="K35" i="9"/>
  <c r="N35" i="9" s="1"/>
  <c r="L35" i="9"/>
  <c r="M35" i="9" s="1"/>
  <c r="F30" i="9"/>
  <c r="C30" i="9"/>
  <c r="B31" i="9"/>
  <c r="D30" i="9"/>
  <c r="G30" i="9"/>
  <c r="I30" i="9"/>
  <c r="P30" i="9" s="1"/>
  <c r="E30" i="9"/>
  <c r="H30" i="9"/>
  <c r="X31" i="6"/>
  <c r="S32" i="6"/>
  <c r="BA34" i="3"/>
  <c r="O34" i="3" s="1"/>
  <c r="R37" i="1"/>
  <c r="AB35" i="1"/>
  <c r="U36" i="1"/>
  <c r="Z35" i="1"/>
  <c r="BD33" i="3"/>
  <c r="R33" i="3" s="1"/>
  <c r="A38" i="6"/>
  <c r="T37" i="6"/>
  <c r="U37" i="6"/>
  <c r="H32" i="6"/>
  <c r="L32" i="6"/>
  <c r="P32" i="6" s="1"/>
  <c r="Y33" i="6"/>
  <c r="C32" i="6"/>
  <c r="B33" i="6"/>
  <c r="I32" i="6"/>
  <c r="J32" i="6" s="1"/>
  <c r="K32" i="6" s="1"/>
  <c r="D32" i="6"/>
  <c r="T35" i="1"/>
  <c r="BC32" i="3"/>
  <c r="Q32" i="3" s="1"/>
  <c r="Y34" i="1"/>
  <c r="AA34" i="1"/>
  <c r="V37" i="6" l="1"/>
  <c r="S35" i="1"/>
  <c r="BB32" i="3"/>
  <c r="P32" i="3" s="1"/>
  <c r="G31" i="9"/>
  <c r="D31" i="9"/>
  <c r="H31" i="9"/>
  <c r="B32" i="9"/>
  <c r="C31" i="9"/>
  <c r="F31" i="9"/>
  <c r="E31" i="9"/>
  <c r="I31" i="9"/>
  <c r="P31" i="9" s="1"/>
  <c r="H33" i="6"/>
  <c r="B34" i="6"/>
  <c r="L33" i="6"/>
  <c r="I33" i="6"/>
  <c r="J33" i="6" s="1"/>
  <c r="K33" i="6" s="1"/>
  <c r="Y34" i="6"/>
  <c r="D33" i="6"/>
  <c r="C33" i="6"/>
  <c r="R38" i="1"/>
  <c r="BA35" i="3"/>
  <c r="O35" i="3" s="1"/>
  <c r="X32" i="6"/>
  <c r="S33" i="6"/>
  <c r="K36" i="9"/>
  <c r="N36" i="9" s="1"/>
  <c r="L36" i="9"/>
  <c r="M36" i="9" s="1"/>
  <c r="A37" i="9"/>
  <c r="T36" i="1"/>
  <c r="BC33" i="3"/>
  <c r="Q33" i="3" s="1"/>
  <c r="Y35" i="1"/>
  <c r="AA35" i="1"/>
  <c r="P33" i="6"/>
  <c r="U38" i="6"/>
  <c r="T38" i="6"/>
  <c r="A39" i="6"/>
  <c r="Z36" i="1"/>
  <c r="AB36" i="1"/>
  <c r="BD34" i="3"/>
  <c r="R34" i="3" s="1"/>
  <c r="U37" i="1"/>
  <c r="V38" i="6" l="1"/>
  <c r="BB33" i="3"/>
  <c r="P33" i="3" s="1"/>
  <c r="S36" i="1"/>
  <c r="A40" i="6"/>
  <c r="U39" i="6"/>
  <c r="T39" i="6"/>
  <c r="K37" i="9"/>
  <c r="N37" i="9" s="1"/>
  <c r="L37" i="9"/>
  <c r="M37" i="9" s="1"/>
  <c r="A38" i="9"/>
  <c r="X33" i="6"/>
  <c r="S34" i="6"/>
  <c r="G32" i="9"/>
  <c r="C32" i="9"/>
  <c r="E32" i="9"/>
  <c r="H32" i="9"/>
  <c r="B33" i="9"/>
  <c r="F32" i="9"/>
  <c r="I32" i="9"/>
  <c r="P32" i="9" s="1"/>
  <c r="D32" i="9"/>
  <c r="BD35" i="3"/>
  <c r="R35" i="3" s="1"/>
  <c r="AB37" i="1"/>
  <c r="Z37" i="1"/>
  <c r="U38" i="1"/>
  <c r="BC34" i="3"/>
  <c r="Q34" i="3" s="1"/>
  <c r="Y36" i="1"/>
  <c r="T37" i="1"/>
  <c r="AA36" i="1"/>
  <c r="R39" i="1"/>
  <c r="BA36" i="3"/>
  <c r="O36" i="3" s="1"/>
  <c r="Y35" i="6"/>
  <c r="B35" i="6"/>
  <c r="H34" i="6"/>
  <c r="D34" i="6"/>
  <c r="L34" i="6"/>
  <c r="I34" i="6"/>
  <c r="J34" i="6" s="1"/>
  <c r="K34" i="6" s="1"/>
  <c r="C34" i="6"/>
  <c r="S37" i="1" l="1"/>
  <c r="BB34" i="3"/>
  <c r="P34" i="3" s="1"/>
  <c r="V39" i="6"/>
  <c r="P34" i="6"/>
  <c r="B34" i="9"/>
  <c r="C33" i="9"/>
  <c r="E33" i="9"/>
  <c r="F33" i="9"/>
  <c r="I33" i="9"/>
  <c r="G33" i="9"/>
  <c r="D33" i="9"/>
  <c r="H33" i="9"/>
  <c r="A39" i="9"/>
  <c r="K38" i="9"/>
  <c r="N38" i="9" s="1"/>
  <c r="L38" i="9"/>
  <c r="M38" i="9" s="1"/>
  <c r="R40" i="1"/>
  <c r="BA37" i="3"/>
  <c r="O37" i="3" s="1"/>
  <c r="T40" i="6"/>
  <c r="U40" i="6"/>
  <c r="A41" i="6"/>
  <c r="P33" i="9"/>
  <c r="X34" i="6"/>
  <c r="S35" i="6"/>
  <c r="C35" i="6"/>
  <c r="Y36" i="6"/>
  <c r="I35" i="6"/>
  <c r="B36" i="6"/>
  <c r="J35" i="6"/>
  <c r="K35" i="6" s="1"/>
  <c r="D35" i="6"/>
  <c r="L35" i="6"/>
  <c r="H35" i="6"/>
  <c r="U39" i="1"/>
  <c r="Z38" i="1"/>
  <c r="AB38" i="1"/>
  <c r="BD36" i="3"/>
  <c r="R36" i="3" s="1"/>
  <c r="BC35" i="3"/>
  <c r="Q35" i="3" s="1"/>
  <c r="Y37" i="1"/>
  <c r="AA37" i="1"/>
  <c r="T38" i="1"/>
  <c r="V40" i="6" l="1"/>
  <c r="S38" i="1"/>
  <c r="BB35" i="3"/>
  <c r="P35" i="3" s="1"/>
  <c r="T39" i="1"/>
  <c r="Y38" i="1"/>
  <c r="BC36" i="3"/>
  <c r="Q36" i="3" s="1"/>
  <c r="AA38" i="1"/>
  <c r="A40" i="9"/>
  <c r="K39" i="9"/>
  <c r="N39" i="9" s="1"/>
  <c r="L39" i="9"/>
  <c r="M39" i="9" s="1"/>
  <c r="I34" i="9"/>
  <c r="C34" i="9"/>
  <c r="E34" i="9"/>
  <c r="D34" i="9"/>
  <c r="B35" i="9"/>
  <c r="H34" i="9"/>
  <c r="F34" i="9"/>
  <c r="G34" i="9"/>
  <c r="C36" i="6"/>
  <c r="Y37" i="6"/>
  <c r="L36" i="6"/>
  <c r="B37" i="6"/>
  <c r="H36" i="6"/>
  <c r="I36" i="6"/>
  <c r="J36" i="6" s="1"/>
  <c r="K36" i="6" s="1"/>
  <c r="D36" i="6"/>
  <c r="X35" i="6"/>
  <c r="S36" i="6"/>
  <c r="A42" i="6"/>
  <c r="T41" i="6"/>
  <c r="U41" i="6"/>
  <c r="R41" i="1"/>
  <c r="BA38" i="3"/>
  <c r="O38" i="3" s="1"/>
  <c r="P35" i="6"/>
  <c r="U40" i="1"/>
  <c r="Z39" i="1"/>
  <c r="BD37" i="3"/>
  <c r="R37" i="3" s="1"/>
  <c r="AB39" i="1"/>
  <c r="V41" i="6" l="1"/>
  <c r="BB36" i="3"/>
  <c r="P36" i="3" s="1"/>
  <c r="S39" i="1"/>
  <c r="H37" i="6"/>
  <c r="D37" i="6"/>
  <c r="C37" i="6"/>
  <c r="L37" i="6"/>
  <c r="P37" i="6" s="1"/>
  <c r="Y38" i="6"/>
  <c r="I37" i="6"/>
  <c r="J37" i="6" s="1"/>
  <c r="K37" i="6" s="1"/>
  <c r="B38" i="6"/>
  <c r="Z40" i="1"/>
  <c r="U41" i="1"/>
  <c r="BD38" i="3"/>
  <c r="R38" i="3" s="1"/>
  <c r="AB40" i="1"/>
  <c r="U42" i="6"/>
  <c r="T42" i="6"/>
  <c r="V42" i="6" s="1"/>
  <c r="A43" i="6"/>
  <c r="R42" i="1"/>
  <c r="BA39" i="3"/>
  <c r="O39" i="3" s="1"/>
  <c r="P36" i="6"/>
  <c r="C35" i="9"/>
  <c r="D35" i="9"/>
  <c r="G35" i="9"/>
  <c r="E35" i="9"/>
  <c r="H35" i="9"/>
  <c r="I35" i="9"/>
  <c r="F35" i="9"/>
  <c r="B36" i="9"/>
  <c r="A41" i="9"/>
  <c r="K40" i="9"/>
  <c r="N40" i="9" s="1"/>
  <c r="L40" i="9"/>
  <c r="M40" i="9" s="1"/>
  <c r="BC37" i="3"/>
  <c r="Q37" i="3" s="1"/>
  <c r="Y39" i="1"/>
  <c r="AA39" i="1"/>
  <c r="T40" i="1"/>
  <c r="X36" i="6"/>
  <c r="S37" i="6"/>
  <c r="P34" i="9"/>
  <c r="BB37" i="3" l="1"/>
  <c r="P37" i="3" s="1"/>
  <c r="S40" i="1"/>
  <c r="Y40" i="1"/>
  <c r="T41" i="1"/>
  <c r="AA40" i="1"/>
  <c r="BC38" i="3"/>
  <c r="Q38" i="3" s="1"/>
  <c r="G36" i="9"/>
  <c r="F36" i="9"/>
  <c r="D36" i="9"/>
  <c r="H36" i="9"/>
  <c r="I36" i="9"/>
  <c r="P36" i="9" s="1"/>
  <c r="B37" i="9"/>
  <c r="E36" i="9"/>
  <c r="C36" i="9"/>
  <c r="I38" i="6"/>
  <c r="J38" i="6" s="1"/>
  <c r="K38" i="6" s="1"/>
  <c r="L38" i="6"/>
  <c r="D38" i="6"/>
  <c r="C38" i="6"/>
  <c r="H38" i="6"/>
  <c r="Y39" i="6"/>
  <c r="B39" i="6"/>
  <c r="B1" i="6"/>
  <c r="T43" i="6"/>
  <c r="U43" i="6"/>
  <c r="A44" i="6"/>
  <c r="X37" i="6"/>
  <c r="S38" i="6"/>
  <c r="A42" i="9"/>
  <c r="K41" i="9"/>
  <c r="N41" i="9" s="1"/>
  <c r="L41" i="9"/>
  <c r="M41" i="9" s="1"/>
  <c r="BA40" i="3"/>
  <c r="O40" i="3" s="1"/>
  <c r="R43" i="1"/>
  <c r="Z41" i="1"/>
  <c r="U42" i="1"/>
  <c r="AB41" i="1"/>
  <c r="BD39" i="3"/>
  <c r="R39" i="3" s="1"/>
  <c r="P35" i="9"/>
  <c r="P38" i="6"/>
  <c r="V43" i="6" l="1"/>
  <c r="BB38" i="3"/>
  <c r="P38" i="3" s="1"/>
  <c r="S41" i="1"/>
  <c r="BA41" i="3"/>
  <c r="O41" i="3" s="1"/>
  <c r="R44" i="1"/>
  <c r="A43" i="9"/>
  <c r="K42" i="9"/>
  <c r="N42" i="9" s="1"/>
  <c r="L42" i="9"/>
  <c r="M42" i="9" s="1"/>
  <c r="Y40" i="6"/>
  <c r="X38" i="6"/>
  <c r="S39" i="6"/>
  <c r="U44" i="6"/>
  <c r="A45" i="6"/>
  <c r="T44" i="6"/>
  <c r="G37" i="9"/>
  <c r="F37" i="9"/>
  <c r="H37" i="9"/>
  <c r="I37" i="9"/>
  <c r="C37" i="9"/>
  <c r="B38" i="9"/>
  <c r="D37" i="9"/>
  <c r="E37" i="9"/>
  <c r="AA41" i="1"/>
  <c r="T42" i="1"/>
  <c r="Y41" i="1"/>
  <c r="BC39" i="3"/>
  <c r="Q39" i="3" s="1"/>
  <c r="BD40" i="3"/>
  <c r="R40" i="3" s="1"/>
  <c r="Z42" i="1"/>
  <c r="AB42" i="1"/>
  <c r="U43" i="1"/>
  <c r="P37" i="9"/>
  <c r="I39" i="6"/>
  <c r="J39" i="6" s="1"/>
  <c r="K39" i="6" s="1"/>
  <c r="H39" i="6"/>
  <c r="C39" i="6"/>
  <c r="B40" i="6"/>
  <c r="D39" i="6"/>
  <c r="L39" i="6"/>
  <c r="V44" i="6" l="1"/>
  <c r="S42" i="1"/>
  <c r="BB39" i="3"/>
  <c r="P39" i="3" s="1"/>
  <c r="AA42" i="1"/>
  <c r="BC40" i="3"/>
  <c r="Q40" i="3" s="1"/>
  <c r="T43" i="1"/>
  <c r="Y42" i="1"/>
  <c r="G38" i="9"/>
  <c r="E38" i="9"/>
  <c r="F38" i="9"/>
  <c r="I38" i="9"/>
  <c r="H38" i="9"/>
  <c r="D38" i="9"/>
  <c r="B39" i="9"/>
  <c r="C38" i="9"/>
  <c r="U45" i="6"/>
  <c r="T45" i="6"/>
  <c r="A46" i="6"/>
  <c r="A44" i="9"/>
  <c r="K43" i="9"/>
  <c r="N43" i="9" s="1"/>
  <c r="L43" i="9"/>
  <c r="M43" i="9" s="1"/>
  <c r="R45" i="1"/>
  <c r="BA42" i="3"/>
  <c r="O42" i="3" s="1"/>
  <c r="U44" i="1"/>
  <c r="AB43" i="1"/>
  <c r="Z43" i="1"/>
  <c r="BD41" i="3"/>
  <c r="R41" i="3" s="1"/>
  <c r="P38" i="9"/>
  <c r="P39" i="6"/>
  <c r="L40" i="6"/>
  <c r="P40" i="6" s="1"/>
  <c r="C40" i="6"/>
  <c r="Y41" i="6"/>
  <c r="I40" i="6"/>
  <c r="H40" i="6"/>
  <c r="J40" i="6"/>
  <c r="K40" i="6" s="1"/>
  <c r="B41" i="6"/>
  <c r="D40" i="6"/>
  <c r="X39" i="6"/>
  <c r="S40" i="6"/>
  <c r="V45" i="6" l="1"/>
  <c r="BB40" i="3"/>
  <c r="P40" i="3" s="1"/>
  <c r="S43" i="1"/>
  <c r="BD42" i="3"/>
  <c r="R42" i="3" s="1"/>
  <c r="AB44" i="1"/>
  <c r="Z44" i="1"/>
  <c r="U45" i="1"/>
  <c r="E39" i="9"/>
  <c r="B40" i="9"/>
  <c r="G39" i="9"/>
  <c r="C39" i="9"/>
  <c r="H39" i="9"/>
  <c r="D39" i="9"/>
  <c r="I39" i="9"/>
  <c r="F39" i="9"/>
  <c r="AA43" i="1"/>
  <c r="T44" i="1"/>
  <c r="Y43" i="1"/>
  <c r="BC41" i="3"/>
  <c r="Q41" i="3" s="1"/>
  <c r="X40" i="6"/>
  <c r="S41" i="6"/>
  <c r="A45" i="9"/>
  <c r="L44" i="9"/>
  <c r="M44" i="9" s="1"/>
  <c r="K44" i="9"/>
  <c r="N44" i="9" s="1"/>
  <c r="B42" i="6"/>
  <c r="L41" i="6"/>
  <c r="P41" i="6" s="1"/>
  <c r="I41" i="6"/>
  <c r="J41" i="6" s="1"/>
  <c r="K41" i="6" s="1"/>
  <c r="D41" i="6"/>
  <c r="Y42" i="6"/>
  <c r="C41" i="6"/>
  <c r="H41" i="6"/>
  <c r="R46" i="1"/>
  <c r="BA43" i="3"/>
  <c r="O43" i="3" s="1"/>
  <c r="T46" i="6"/>
  <c r="A47" i="6"/>
  <c r="U46" i="6"/>
  <c r="P39" i="9"/>
  <c r="V46" i="6" l="1"/>
  <c r="BB41" i="3"/>
  <c r="P41" i="3" s="1"/>
  <c r="S44" i="1"/>
  <c r="R47" i="1"/>
  <c r="BA44" i="3"/>
  <c r="O44" i="3" s="1"/>
  <c r="BC42" i="3"/>
  <c r="Q42" i="3" s="1"/>
  <c r="T45" i="1"/>
  <c r="AA44" i="1"/>
  <c r="Y44" i="1"/>
  <c r="E40" i="9"/>
  <c r="G40" i="9"/>
  <c r="F40" i="9"/>
  <c r="H40" i="9"/>
  <c r="D40" i="9"/>
  <c r="B41" i="9"/>
  <c r="I40" i="9"/>
  <c r="C40" i="9"/>
  <c r="U47" i="6"/>
  <c r="A48" i="6"/>
  <c r="T47" i="6"/>
  <c r="V47" i="6" s="1"/>
  <c r="B43" i="6"/>
  <c r="D42" i="6"/>
  <c r="C42" i="6"/>
  <c r="I42" i="6"/>
  <c r="J42" i="6" s="1"/>
  <c r="K42" i="6" s="1"/>
  <c r="H42" i="6"/>
  <c r="Y43" i="6"/>
  <c r="L42" i="6"/>
  <c r="K45" i="9"/>
  <c r="N45" i="9" s="1"/>
  <c r="L45" i="9"/>
  <c r="M45" i="9" s="1"/>
  <c r="A46" i="9"/>
  <c r="X41" i="6"/>
  <c r="S42" i="6"/>
  <c r="AB45" i="1"/>
  <c r="BD43" i="3"/>
  <c r="R43" i="3" s="1"/>
  <c r="U46" i="1"/>
  <c r="Z45" i="1"/>
  <c r="S45" i="1" l="1"/>
  <c r="BB42" i="3"/>
  <c r="P42" i="3" s="1"/>
  <c r="AB46" i="1"/>
  <c r="U47" i="1"/>
  <c r="Z46" i="1"/>
  <c r="BD44" i="3"/>
  <c r="R44" i="3" s="1"/>
  <c r="U48" i="6"/>
  <c r="T48" i="6"/>
  <c r="V48" i="6" s="1"/>
  <c r="A49" i="6"/>
  <c r="C43" i="6"/>
  <c r="B44" i="6"/>
  <c r="I43" i="6"/>
  <c r="J43" i="6" s="1"/>
  <c r="K43" i="6" s="1"/>
  <c r="H43" i="6"/>
  <c r="D43" i="6"/>
  <c r="L43" i="6"/>
  <c r="P43" i="6" s="1"/>
  <c r="Y44" i="6"/>
  <c r="B42" i="9"/>
  <c r="C41" i="9"/>
  <c r="D41" i="9"/>
  <c r="F41" i="9"/>
  <c r="B2" i="9"/>
  <c r="I41" i="9"/>
  <c r="P41" i="9" s="1"/>
  <c r="G41" i="9"/>
  <c r="H41" i="9"/>
  <c r="E41" i="9"/>
  <c r="BC43" i="3"/>
  <c r="Q43" i="3" s="1"/>
  <c r="T46" i="1"/>
  <c r="AA45" i="1"/>
  <c r="Y45" i="1"/>
  <c r="BA45" i="3"/>
  <c r="O45" i="3" s="1"/>
  <c r="R48" i="1"/>
  <c r="P40" i="9"/>
  <c r="X42" i="6"/>
  <c r="S43" i="6"/>
  <c r="A47" i="9"/>
  <c r="K46" i="9"/>
  <c r="N46" i="9" s="1"/>
  <c r="L46" i="9"/>
  <c r="M46" i="9" s="1"/>
  <c r="P42" i="6"/>
  <c r="S46" i="1" l="1"/>
  <c r="BB43" i="3"/>
  <c r="P43" i="3" s="1"/>
  <c r="A48" i="9"/>
  <c r="K47" i="9"/>
  <c r="N47" i="9" s="1"/>
  <c r="L47" i="9"/>
  <c r="M47" i="9" s="1"/>
  <c r="X43" i="6"/>
  <c r="S44" i="6"/>
  <c r="C42" i="9"/>
  <c r="F42" i="9"/>
  <c r="B43" i="9"/>
  <c r="E42" i="9"/>
  <c r="G42" i="9"/>
  <c r="H42" i="9"/>
  <c r="I42" i="9"/>
  <c r="D42" i="9"/>
  <c r="B45" i="6"/>
  <c r="I44" i="6"/>
  <c r="D44" i="6"/>
  <c r="Y45" i="6"/>
  <c r="J44" i="6"/>
  <c r="K44" i="6" s="1"/>
  <c r="H44" i="6"/>
  <c r="L44" i="6"/>
  <c r="C44" i="6"/>
  <c r="A50" i="6"/>
  <c r="U49" i="6"/>
  <c r="T49" i="6"/>
  <c r="Z47" i="1"/>
  <c r="U48" i="1"/>
  <c r="BD45" i="3"/>
  <c r="R45" i="3" s="1"/>
  <c r="AB47" i="1"/>
  <c r="R49" i="1"/>
  <c r="BA46" i="3"/>
  <c r="O46" i="3" s="1"/>
  <c r="BC44" i="3"/>
  <c r="Q44" i="3" s="1"/>
  <c r="T47" i="1"/>
  <c r="Y46" i="1"/>
  <c r="AA46" i="1"/>
  <c r="P42" i="9"/>
  <c r="P44" i="6"/>
  <c r="V49" i="6" l="1"/>
  <c r="BB44" i="3"/>
  <c r="P44" i="3" s="1"/>
  <c r="S47" i="1"/>
  <c r="A51" i="6"/>
  <c r="U50" i="6"/>
  <c r="T50" i="6"/>
  <c r="V50" i="6" s="1"/>
  <c r="AB48" i="1"/>
  <c r="U49" i="1"/>
  <c r="Z48" i="1"/>
  <c r="BD46" i="3"/>
  <c r="R46" i="3" s="1"/>
  <c r="D45" i="6"/>
  <c r="H45" i="6"/>
  <c r="C45" i="6"/>
  <c r="Y46" i="6"/>
  <c r="B46" i="6"/>
  <c r="I45" i="6"/>
  <c r="J45" i="6" s="1"/>
  <c r="K45" i="6" s="1"/>
  <c r="L45" i="6"/>
  <c r="BA47" i="3"/>
  <c r="O47" i="3" s="1"/>
  <c r="R50" i="1"/>
  <c r="P45" i="6"/>
  <c r="X44" i="6"/>
  <c r="S45" i="6"/>
  <c r="A49" i="9"/>
  <c r="L48" i="9"/>
  <c r="M48" i="9" s="1"/>
  <c r="K48" i="9"/>
  <c r="N48" i="9" s="1"/>
  <c r="Y47" i="1"/>
  <c r="AA47" i="1"/>
  <c r="T48" i="1"/>
  <c r="BC45" i="3"/>
  <c r="Q45" i="3" s="1"/>
  <c r="I43" i="9"/>
  <c r="P43" i="9" s="1"/>
  <c r="G43" i="9"/>
  <c r="B44" i="9"/>
  <c r="H43" i="9"/>
  <c r="F43" i="9"/>
  <c r="C43" i="9"/>
  <c r="D43" i="9"/>
  <c r="E43" i="9"/>
  <c r="S48" i="1" l="1"/>
  <c r="BB45" i="3"/>
  <c r="P45" i="3" s="1"/>
  <c r="B45" i="9"/>
  <c r="C44" i="9"/>
  <c r="H44" i="9"/>
  <c r="E44" i="9"/>
  <c r="G44" i="9"/>
  <c r="I44" i="9"/>
  <c r="P44" i="9" s="1"/>
  <c r="D44" i="9"/>
  <c r="F44" i="9"/>
  <c r="U51" i="6"/>
  <c r="A52" i="6"/>
  <c r="T51" i="6"/>
  <c r="Y48" i="1"/>
  <c r="AA48" i="1"/>
  <c r="T49" i="1"/>
  <c r="BC46" i="3"/>
  <c r="Q46" i="3" s="1"/>
  <c r="K49" i="9"/>
  <c r="N49" i="9" s="1"/>
  <c r="L49" i="9"/>
  <c r="M49" i="9" s="1"/>
  <c r="A50" i="9"/>
  <c r="BA48" i="3"/>
  <c r="O48" i="3" s="1"/>
  <c r="R51" i="1"/>
  <c r="B47" i="6"/>
  <c r="I46" i="6"/>
  <c r="J46" i="6" s="1"/>
  <c r="K46" i="6" s="1"/>
  <c r="Y47" i="6"/>
  <c r="H46" i="6"/>
  <c r="C46" i="6"/>
  <c r="L46" i="6"/>
  <c r="D46" i="6"/>
  <c r="X45" i="6"/>
  <c r="S46" i="6"/>
  <c r="AB49" i="1"/>
  <c r="U50" i="1"/>
  <c r="BD47" i="3"/>
  <c r="R47" i="3" s="1"/>
  <c r="Z49" i="1"/>
  <c r="V51" i="6" l="1"/>
  <c r="BB46" i="3"/>
  <c r="P46" i="3" s="1"/>
  <c r="S49" i="1"/>
  <c r="BA49" i="3"/>
  <c r="O49" i="3" s="1"/>
  <c r="R52" i="1"/>
  <c r="U52" i="6"/>
  <c r="A53" i="6"/>
  <c r="T52" i="6"/>
  <c r="V52" i="6" s="1"/>
  <c r="U51" i="1"/>
  <c r="AB50" i="1"/>
  <c r="Z50" i="1"/>
  <c r="BD48" i="3"/>
  <c r="R48" i="3" s="1"/>
  <c r="K50" i="9"/>
  <c r="N50" i="9" s="1"/>
  <c r="L50" i="9"/>
  <c r="M50" i="9" s="1"/>
  <c r="A51" i="9"/>
  <c r="P46" i="6"/>
  <c r="G45" i="9"/>
  <c r="C45" i="9"/>
  <c r="H45" i="9"/>
  <c r="F45" i="9"/>
  <c r="I45" i="9"/>
  <c r="E45" i="9"/>
  <c r="D45" i="9"/>
  <c r="B46" i="9"/>
  <c r="X46" i="6"/>
  <c r="S47" i="6"/>
  <c r="I47" i="6"/>
  <c r="J47" i="6" s="1"/>
  <c r="K47" i="6" s="1"/>
  <c r="B48" i="6"/>
  <c r="H47" i="6"/>
  <c r="Y48" i="6"/>
  <c r="L47" i="6"/>
  <c r="C47" i="6"/>
  <c r="D47" i="6"/>
  <c r="T50" i="1"/>
  <c r="BC47" i="3"/>
  <c r="Q47" i="3" s="1"/>
  <c r="Y49" i="1"/>
  <c r="AA49" i="1"/>
  <c r="S50" i="1" l="1"/>
  <c r="BB47" i="3"/>
  <c r="P47" i="3" s="1"/>
  <c r="R53" i="1"/>
  <c r="BA50" i="3"/>
  <c r="O50" i="3" s="1"/>
  <c r="T51" i="1"/>
  <c r="AA50" i="1"/>
  <c r="Y50" i="1"/>
  <c r="BC48" i="3"/>
  <c r="Q48" i="3" s="1"/>
  <c r="H48" i="6"/>
  <c r="C48" i="6"/>
  <c r="B49" i="6"/>
  <c r="L48" i="6"/>
  <c r="I48" i="6"/>
  <c r="D48" i="6"/>
  <c r="J48" i="6"/>
  <c r="K48" i="6" s="1"/>
  <c r="Y49" i="6"/>
  <c r="D46" i="9"/>
  <c r="B47" i="9"/>
  <c r="C46" i="9"/>
  <c r="F46" i="9"/>
  <c r="G46" i="9"/>
  <c r="I46" i="9"/>
  <c r="H46" i="9"/>
  <c r="E46" i="9"/>
  <c r="A54" i="6"/>
  <c r="T53" i="6"/>
  <c r="U53" i="6"/>
  <c r="A52" i="9"/>
  <c r="K51" i="9"/>
  <c r="N51" i="9" s="1"/>
  <c r="L51" i="9"/>
  <c r="M51" i="9" s="1"/>
  <c r="P47" i="6"/>
  <c r="X47" i="6"/>
  <c r="S48" i="6"/>
  <c r="P45" i="9"/>
  <c r="BD49" i="3"/>
  <c r="R49" i="3" s="1"/>
  <c r="Z51" i="1"/>
  <c r="U52" i="1"/>
  <c r="AB51" i="1"/>
  <c r="V53" i="6" l="1"/>
  <c r="S51" i="1"/>
  <c r="BB48" i="3"/>
  <c r="P48" i="3" s="1"/>
  <c r="H47" i="9"/>
  <c r="B48" i="9"/>
  <c r="I47" i="9"/>
  <c r="P47" i="9" s="1"/>
  <c r="F47" i="9"/>
  <c r="C47" i="9"/>
  <c r="G47" i="9"/>
  <c r="D47" i="9"/>
  <c r="E47" i="9"/>
  <c r="R54" i="1"/>
  <c r="BA51" i="3"/>
  <c r="O51" i="3" s="1"/>
  <c r="P46" i="9"/>
  <c r="BD50" i="3"/>
  <c r="R50" i="3" s="1"/>
  <c r="U53" i="1"/>
  <c r="AB52" i="1"/>
  <c r="Z52" i="1"/>
  <c r="X48" i="6"/>
  <c r="S49" i="6"/>
  <c r="BC49" i="3"/>
  <c r="Q49" i="3" s="1"/>
  <c r="Y51" i="1"/>
  <c r="T52" i="1"/>
  <c r="AA51" i="1"/>
  <c r="P48" i="6"/>
  <c r="A53" i="9"/>
  <c r="L52" i="9"/>
  <c r="M52" i="9" s="1"/>
  <c r="K52" i="9"/>
  <c r="N52" i="9" s="1"/>
  <c r="A55" i="6"/>
  <c r="U54" i="6"/>
  <c r="T54" i="6"/>
  <c r="V54" i="6" s="1"/>
  <c r="L49" i="6"/>
  <c r="D49" i="6"/>
  <c r="C49" i="6"/>
  <c r="I49" i="6"/>
  <c r="J49" i="6" s="1"/>
  <c r="K49" i="6" s="1"/>
  <c r="Y50" i="6"/>
  <c r="B50" i="6"/>
  <c r="H49" i="6"/>
  <c r="S52" i="1" l="1"/>
  <c r="BB49" i="3"/>
  <c r="P49" i="3" s="1"/>
  <c r="C50" i="6"/>
  <c r="I50" i="6"/>
  <c r="J50" i="6" s="1"/>
  <c r="K50" i="6" s="1"/>
  <c r="H50" i="6"/>
  <c r="L50" i="6"/>
  <c r="P50" i="6" s="1"/>
  <c r="D50" i="6"/>
  <c r="Y51" i="6"/>
  <c r="B51" i="6"/>
  <c r="T55" i="6"/>
  <c r="U55" i="6"/>
  <c r="A56" i="6"/>
  <c r="L53" i="9"/>
  <c r="M53" i="9" s="1"/>
  <c r="K53" i="9"/>
  <c r="N53" i="9" s="1"/>
  <c r="A54" i="9"/>
  <c r="P49" i="6"/>
  <c r="G48" i="9"/>
  <c r="E48" i="9"/>
  <c r="F48" i="9"/>
  <c r="I48" i="9"/>
  <c r="P48" i="9" s="1"/>
  <c r="D48" i="9"/>
  <c r="H48" i="9"/>
  <c r="B49" i="9"/>
  <c r="C48" i="9"/>
  <c r="T53" i="1"/>
  <c r="BC50" i="3"/>
  <c r="Q50" i="3" s="1"/>
  <c r="Y52" i="1"/>
  <c r="AA52" i="1"/>
  <c r="X49" i="6"/>
  <c r="S50" i="6"/>
  <c r="U54" i="1"/>
  <c r="AB53" i="1"/>
  <c r="Z53" i="1"/>
  <c r="BD51" i="3"/>
  <c r="R51" i="3" s="1"/>
  <c r="R55" i="1"/>
  <c r="BA52" i="3"/>
  <c r="O52" i="3" s="1"/>
  <c r="V55" i="6" l="1"/>
  <c r="S53" i="1"/>
  <c r="BB50" i="3"/>
  <c r="P50" i="3" s="1"/>
  <c r="AA53" i="1"/>
  <c r="BC51" i="3"/>
  <c r="Q51" i="3" s="1"/>
  <c r="Y53" i="1"/>
  <c r="T54" i="1"/>
  <c r="X50" i="6"/>
  <c r="S51" i="6"/>
  <c r="A57" i="6"/>
  <c r="U56" i="6"/>
  <c r="T56" i="6"/>
  <c r="V56" i="6" s="1"/>
  <c r="B52" i="6"/>
  <c r="H51" i="6"/>
  <c r="D51" i="6"/>
  <c r="Y52" i="6"/>
  <c r="I51" i="6"/>
  <c r="J51" i="6" s="1"/>
  <c r="K51" i="6" s="1"/>
  <c r="L51" i="6"/>
  <c r="C51" i="6"/>
  <c r="R56" i="1"/>
  <c r="BA53" i="3"/>
  <c r="O53" i="3" s="1"/>
  <c r="BD52" i="3"/>
  <c r="R52" i="3" s="1"/>
  <c r="Z54" i="1"/>
  <c r="AB54" i="1"/>
  <c r="U55" i="1"/>
  <c r="G49" i="9"/>
  <c r="C49" i="9"/>
  <c r="B50" i="9"/>
  <c r="D49" i="9"/>
  <c r="E49" i="9"/>
  <c r="I49" i="9"/>
  <c r="F49" i="9"/>
  <c r="H49" i="9"/>
  <c r="K54" i="9"/>
  <c r="N54" i="9" s="1"/>
  <c r="A55" i="9"/>
  <c r="L54" i="9"/>
  <c r="M54" i="9" s="1"/>
  <c r="P51" i="6"/>
  <c r="BB51" i="3" l="1"/>
  <c r="P51" i="3" s="1"/>
  <c r="S54" i="1"/>
  <c r="G50" i="9"/>
  <c r="H50" i="9"/>
  <c r="I50" i="9"/>
  <c r="B51" i="9"/>
  <c r="F50" i="9"/>
  <c r="E50" i="9"/>
  <c r="D50" i="9"/>
  <c r="C50" i="9"/>
  <c r="BA54" i="3"/>
  <c r="O54" i="3" s="1"/>
  <c r="R57" i="1"/>
  <c r="U57" i="6"/>
  <c r="T57" i="6"/>
  <c r="A58" i="6"/>
  <c r="A56" i="9"/>
  <c r="L55" i="9"/>
  <c r="M55" i="9" s="1"/>
  <c r="K55" i="9"/>
  <c r="N55" i="9" s="1"/>
  <c r="P50" i="9"/>
  <c r="T55" i="1"/>
  <c r="BC52" i="3"/>
  <c r="Q52" i="3" s="1"/>
  <c r="Y54" i="1"/>
  <c r="AA54" i="1"/>
  <c r="P49" i="9"/>
  <c r="U56" i="1"/>
  <c r="AB55" i="1"/>
  <c r="Z55" i="1"/>
  <c r="BD53" i="3"/>
  <c r="R53" i="3" s="1"/>
  <c r="Y53" i="6"/>
  <c r="H52" i="6"/>
  <c r="B53" i="6"/>
  <c r="D52" i="6"/>
  <c r="C52" i="6"/>
  <c r="I52" i="6"/>
  <c r="J52" i="6" s="1"/>
  <c r="K52" i="6" s="1"/>
  <c r="L52" i="6"/>
  <c r="X51" i="6"/>
  <c r="S52" i="6"/>
  <c r="V57" i="6" l="1"/>
  <c r="S55" i="1"/>
  <c r="BB52" i="3"/>
  <c r="P52" i="3" s="1"/>
  <c r="U57" i="1"/>
  <c r="Z56" i="1"/>
  <c r="BD54" i="3"/>
  <c r="R54" i="3" s="1"/>
  <c r="AB56" i="1"/>
  <c r="T56" i="1"/>
  <c r="AA55" i="1"/>
  <c r="BC53" i="3"/>
  <c r="Q53" i="3" s="1"/>
  <c r="Y55" i="1"/>
  <c r="A57" i="9"/>
  <c r="L56" i="9"/>
  <c r="M56" i="9" s="1"/>
  <c r="K56" i="9"/>
  <c r="N56" i="9" s="1"/>
  <c r="H53" i="6"/>
  <c r="B54" i="6"/>
  <c r="C53" i="6"/>
  <c r="L53" i="6"/>
  <c r="I53" i="6"/>
  <c r="J53" i="6" s="1"/>
  <c r="K53" i="6" s="1"/>
  <c r="D53" i="6"/>
  <c r="Y54" i="6"/>
  <c r="A59" i="6"/>
  <c r="U58" i="6"/>
  <c r="T58" i="6"/>
  <c r="V58" i="6" s="1"/>
  <c r="BA55" i="3"/>
  <c r="O55" i="3" s="1"/>
  <c r="R58" i="1"/>
  <c r="X52" i="6"/>
  <c r="S53" i="6"/>
  <c r="P52" i="6"/>
  <c r="H51" i="9"/>
  <c r="E51" i="9"/>
  <c r="B52" i="9"/>
  <c r="G51" i="9"/>
  <c r="F51" i="9"/>
  <c r="I51" i="9"/>
  <c r="C51" i="9"/>
  <c r="D51" i="9"/>
  <c r="S56" i="1" l="1"/>
  <c r="BB53" i="3"/>
  <c r="P53" i="3" s="1"/>
  <c r="P53" i="6"/>
  <c r="A58" i="9"/>
  <c r="K57" i="9"/>
  <c r="N57" i="9" s="1"/>
  <c r="L57" i="9"/>
  <c r="M57" i="9" s="1"/>
  <c r="BC54" i="3"/>
  <c r="Q54" i="3" s="1"/>
  <c r="T57" i="1"/>
  <c r="Y56" i="1"/>
  <c r="AA56" i="1"/>
  <c r="R59" i="1"/>
  <c r="BA56" i="3"/>
  <c r="O56" i="3" s="1"/>
  <c r="U59" i="6"/>
  <c r="T59" i="6"/>
  <c r="A60" i="6"/>
  <c r="P51" i="9"/>
  <c r="D54" i="6"/>
  <c r="C54" i="6"/>
  <c r="L54" i="6"/>
  <c r="P54" i="6" s="1"/>
  <c r="Y55" i="6"/>
  <c r="B55" i="6"/>
  <c r="I54" i="6"/>
  <c r="J54" i="6" s="1"/>
  <c r="K54" i="6" s="1"/>
  <c r="H54" i="6"/>
  <c r="BD55" i="3"/>
  <c r="R55" i="3" s="1"/>
  <c r="AB57" i="1"/>
  <c r="U58" i="1"/>
  <c r="Z57" i="1"/>
  <c r="H52" i="9"/>
  <c r="E52" i="9"/>
  <c r="D52" i="9"/>
  <c r="G52" i="9"/>
  <c r="I52" i="9"/>
  <c r="B53" i="9"/>
  <c r="C52" i="9"/>
  <c r="F52" i="9"/>
  <c r="X53" i="6"/>
  <c r="S54" i="6"/>
  <c r="V59" i="6" l="1"/>
  <c r="BB54" i="3"/>
  <c r="P54" i="3" s="1"/>
  <c r="S57" i="1"/>
  <c r="U59" i="1"/>
  <c r="AB58" i="1"/>
  <c r="BD56" i="3"/>
  <c r="R56" i="3" s="1"/>
  <c r="Z58" i="1"/>
  <c r="R60" i="1"/>
  <c r="BA57" i="3"/>
  <c r="O57" i="3" s="1"/>
  <c r="X54" i="6"/>
  <c r="S55" i="6"/>
  <c r="B54" i="9"/>
  <c r="E53" i="9"/>
  <c r="H53" i="9"/>
  <c r="C53" i="9"/>
  <c r="D53" i="9"/>
  <c r="I53" i="9"/>
  <c r="G53" i="9"/>
  <c r="F53" i="9"/>
  <c r="P53" i="9"/>
  <c r="P52" i="9"/>
  <c r="L55" i="6"/>
  <c r="C55" i="6"/>
  <c r="Y56" i="6"/>
  <c r="H55" i="6"/>
  <c r="B56" i="6"/>
  <c r="D55" i="6"/>
  <c r="I55" i="6"/>
  <c r="J55" i="6" s="1"/>
  <c r="K55" i="6" s="1"/>
  <c r="A61" i="6"/>
  <c r="U60" i="6"/>
  <c r="T60" i="6"/>
  <c r="AA57" i="1"/>
  <c r="T58" i="1"/>
  <c r="BC55" i="3"/>
  <c r="Q55" i="3" s="1"/>
  <c r="Y57" i="1"/>
  <c r="A59" i="9"/>
  <c r="L58" i="9"/>
  <c r="M58" i="9" s="1"/>
  <c r="K58" i="9"/>
  <c r="N58" i="9" s="1"/>
  <c r="V60" i="6" l="1"/>
  <c r="S58" i="1"/>
  <c r="BB55" i="3"/>
  <c r="P55" i="3" s="1"/>
  <c r="A60" i="9"/>
  <c r="L59" i="9"/>
  <c r="M59" i="9" s="1"/>
  <c r="K59" i="9"/>
  <c r="N59" i="9" s="1"/>
  <c r="G54" i="9"/>
  <c r="F54" i="9"/>
  <c r="D54" i="9"/>
  <c r="B55" i="9"/>
  <c r="C54" i="9"/>
  <c r="H54" i="9"/>
  <c r="E54" i="9"/>
  <c r="I54" i="9"/>
  <c r="R61" i="1"/>
  <c r="BA58" i="3"/>
  <c r="O58" i="3" s="1"/>
  <c r="X55" i="6"/>
  <c r="S56" i="6"/>
  <c r="U60" i="1"/>
  <c r="Z59" i="1"/>
  <c r="BD57" i="3"/>
  <c r="R57" i="3" s="1"/>
  <c r="AB59" i="1"/>
  <c r="Y58" i="1"/>
  <c r="BC56" i="3"/>
  <c r="Q56" i="3" s="1"/>
  <c r="AA58" i="1"/>
  <c r="T59" i="1"/>
  <c r="U61" i="6"/>
  <c r="T61" i="6"/>
  <c r="V61" i="6" s="1"/>
  <c r="A62" i="6"/>
  <c r="C56" i="6"/>
  <c r="Y57" i="6"/>
  <c r="B57" i="6"/>
  <c r="I56" i="6"/>
  <c r="J56" i="6" s="1"/>
  <c r="K56" i="6" s="1"/>
  <c r="L56" i="6"/>
  <c r="D56" i="6"/>
  <c r="H56" i="6"/>
  <c r="P55" i="6"/>
  <c r="P54" i="9"/>
  <c r="BB56" i="3" l="1"/>
  <c r="P56" i="3" s="1"/>
  <c r="S59" i="1"/>
  <c r="U61" i="1"/>
  <c r="Z60" i="1"/>
  <c r="BD58" i="3"/>
  <c r="R58" i="3" s="1"/>
  <c r="AB60" i="1"/>
  <c r="E55" i="9"/>
  <c r="I55" i="9"/>
  <c r="P55" i="9" s="1"/>
  <c r="D55" i="9"/>
  <c r="G55" i="9"/>
  <c r="B56" i="9"/>
  <c r="C55" i="9"/>
  <c r="H55" i="9"/>
  <c r="F55" i="9"/>
  <c r="A63" i="6"/>
  <c r="U62" i="6"/>
  <c r="T62" i="6"/>
  <c r="T60" i="1"/>
  <c r="Y59" i="1"/>
  <c r="BC57" i="3"/>
  <c r="Q57" i="3" s="1"/>
  <c r="AA59" i="1"/>
  <c r="P56" i="6"/>
  <c r="H57" i="6"/>
  <c r="L57" i="6"/>
  <c r="C57" i="6"/>
  <c r="I57" i="6"/>
  <c r="J57" i="6" s="1"/>
  <c r="K57" i="6" s="1"/>
  <c r="D57" i="6"/>
  <c r="Y58" i="6"/>
  <c r="B58" i="6"/>
  <c r="A61" i="9"/>
  <c r="K60" i="9"/>
  <c r="N60" i="9" s="1"/>
  <c r="L60" i="9"/>
  <c r="M60" i="9" s="1"/>
  <c r="X56" i="6"/>
  <c r="S57" i="6"/>
  <c r="R62" i="1"/>
  <c r="BA59" i="3"/>
  <c r="O59" i="3" s="1"/>
  <c r="V62" i="6" l="1"/>
  <c r="BB57" i="3"/>
  <c r="P57" i="3" s="1"/>
  <c r="S60" i="1"/>
  <c r="A62" i="9"/>
  <c r="K61" i="9"/>
  <c r="N61" i="9" s="1"/>
  <c r="L61" i="9"/>
  <c r="M61" i="9" s="1"/>
  <c r="Y60" i="1"/>
  <c r="BC58" i="3"/>
  <c r="Q58" i="3" s="1"/>
  <c r="T61" i="1"/>
  <c r="AA60" i="1"/>
  <c r="G56" i="9"/>
  <c r="C56" i="9"/>
  <c r="H56" i="9"/>
  <c r="D56" i="9"/>
  <c r="I56" i="9"/>
  <c r="P56" i="9" s="1"/>
  <c r="B57" i="9"/>
  <c r="F56" i="9"/>
  <c r="E56" i="9"/>
  <c r="AB61" i="1"/>
  <c r="Z61" i="1"/>
  <c r="BD59" i="3"/>
  <c r="R59" i="3" s="1"/>
  <c r="U62" i="1"/>
  <c r="X57" i="6"/>
  <c r="S58" i="6"/>
  <c r="P57" i="6"/>
  <c r="BA60" i="3"/>
  <c r="O60" i="3" s="1"/>
  <c r="R63" i="1"/>
  <c r="B59" i="6"/>
  <c r="C58" i="6"/>
  <c r="D58" i="6"/>
  <c r="H58" i="6"/>
  <c r="L58" i="6"/>
  <c r="P58" i="6" s="1"/>
  <c r="Y59" i="6"/>
  <c r="I58" i="6"/>
  <c r="J58" i="6" s="1"/>
  <c r="K58" i="6" s="1"/>
  <c r="U63" i="6"/>
  <c r="T63" i="6"/>
  <c r="A64" i="6"/>
  <c r="S61" i="1" l="1"/>
  <c r="BB58" i="3"/>
  <c r="P58" i="3" s="1"/>
  <c r="V63" i="6"/>
  <c r="R64" i="1"/>
  <c r="BA61" i="3"/>
  <c r="O61" i="3" s="1"/>
  <c r="U63" i="1"/>
  <c r="Z62" i="1"/>
  <c r="BD60" i="3"/>
  <c r="R60" i="3" s="1"/>
  <c r="AB62" i="1"/>
  <c r="AA61" i="1"/>
  <c r="Y61" i="1"/>
  <c r="BC59" i="3"/>
  <c r="Q59" i="3" s="1"/>
  <c r="T62" i="1"/>
  <c r="G57" i="9"/>
  <c r="F57" i="9"/>
  <c r="I57" i="9"/>
  <c r="P57" i="9" s="1"/>
  <c r="B58" i="9"/>
  <c r="D57" i="9"/>
  <c r="C57" i="9"/>
  <c r="E57" i="9"/>
  <c r="H57" i="9"/>
  <c r="L62" i="9"/>
  <c r="M62" i="9" s="1"/>
  <c r="K62" i="9"/>
  <c r="N62" i="9" s="1"/>
  <c r="A63" i="9"/>
  <c r="U64" i="6"/>
  <c r="A65" i="6"/>
  <c r="T64" i="6"/>
  <c r="V64" i="6" s="1"/>
  <c r="H59" i="6"/>
  <c r="L59" i="6"/>
  <c r="P59" i="6" s="1"/>
  <c r="C59" i="6"/>
  <c r="Y60" i="6"/>
  <c r="B60" i="6"/>
  <c r="I59" i="6"/>
  <c r="D59" i="6"/>
  <c r="J59" i="6"/>
  <c r="K59" i="6" s="1"/>
  <c r="X58" i="6"/>
  <c r="S59" i="6"/>
  <c r="BB59" i="3" l="1"/>
  <c r="P59" i="3" s="1"/>
  <c r="S62" i="1"/>
  <c r="G58" i="9"/>
  <c r="D58" i="9"/>
  <c r="H58" i="9"/>
  <c r="B59" i="9"/>
  <c r="C58" i="9"/>
  <c r="I58" i="9"/>
  <c r="P58" i="9" s="1"/>
  <c r="F58" i="9"/>
  <c r="E58" i="9"/>
  <c r="A64" i="9"/>
  <c r="L63" i="9"/>
  <c r="M63" i="9" s="1"/>
  <c r="K63" i="9"/>
  <c r="N63" i="9" s="1"/>
  <c r="BC60" i="3"/>
  <c r="Q60" i="3" s="1"/>
  <c r="Y62" i="1"/>
  <c r="AA62" i="1"/>
  <c r="T63" i="1"/>
  <c r="Z63" i="1"/>
  <c r="AB63" i="1"/>
  <c r="U64" i="1"/>
  <c r="BD61" i="3"/>
  <c r="R61" i="3" s="1"/>
  <c r="X59" i="6"/>
  <c r="S60" i="6"/>
  <c r="U65" i="6"/>
  <c r="T65" i="6"/>
  <c r="A66" i="6"/>
  <c r="R65" i="1"/>
  <c r="BA62" i="3"/>
  <c r="O62" i="3" s="1"/>
  <c r="Y61" i="6"/>
  <c r="B61" i="6"/>
  <c r="H60" i="6"/>
  <c r="I60" i="6"/>
  <c r="J60" i="6" s="1"/>
  <c r="K60" i="6" s="1"/>
  <c r="D60" i="6"/>
  <c r="C60" i="6"/>
  <c r="L60" i="6"/>
  <c r="V65" i="6" l="1"/>
  <c r="BB60" i="3"/>
  <c r="P60" i="3" s="1"/>
  <c r="S63" i="1"/>
  <c r="R66" i="1"/>
  <c r="BA63" i="3"/>
  <c r="O63" i="3" s="1"/>
  <c r="BD62" i="3"/>
  <c r="R62" i="3" s="1"/>
  <c r="AB64" i="1"/>
  <c r="U65" i="1"/>
  <c r="Z64" i="1"/>
  <c r="A67" i="6"/>
  <c r="U66" i="6"/>
  <c r="T66" i="6"/>
  <c r="V66" i="6" s="1"/>
  <c r="X60" i="6"/>
  <c r="S61" i="6"/>
  <c r="A65" i="9"/>
  <c r="L64" i="9"/>
  <c r="M64" i="9" s="1"/>
  <c r="K64" i="9"/>
  <c r="N64" i="9" s="1"/>
  <c r="P60" i="6"/>
  <c r="Y62" i="6"/>
  <c r="I61" i="6"/>
  <c r="J61" i="6" s="1"/>
  <c r="K61" i="6" s="1"/>
  <c r="B62" i="6"/>
  <c r="H61" i="6"/>
  <c r="D61" i="6"/>
  <c r="C61" i="6"/>
  <c r="L61" i="6"/>
  <c r="BC61" i="3"/>
  <c r="Q61" i="3" s="1"/>
  <c r="AA63" i="1"/>
  <c r="Y63" i="1"/>
  <c r="T64" i="1"/>
  <c r="I59" i="9"/>
  <c r="P59" i="9" s="1"/>
  <c r="F59" i="9"/>
  <c r="B60" i="9"/>
  <c r="D59" i="9"/>
  <c r="G59" i="9"/>
  <c r="C59" i="9"/>
  <c r="E59" i="9"/>
  <c r="H59" i="9"/>
  <c r="BB61" i="3" l="1"/>
  <c r="P61" i="3" s="1"/>
  <c r="S64" i="1"/>
  <c r="X61" i="6"/>
  <c r="S62" i="6"/>
  <c r="U67" i="6"/>
  <c r="T67" i="6"/>
  <c r="A68" i="6"/>
  <c r="C62" i="6"/>
  <c r="H62" i="6"/>
  <c r="D62" i="6"/>
  <c r="B63" i="6"/>
  <c r="I62" i="6"/>
  <c r="J62" i="6" s="1"/>
  <c r="K62" i="6" s="1"/>
  <c r="Y63" i="6"/>
  <c r="L62" i="6"/>
  <c r="T65" i="1"/>
  <c r="AA64" i="1"/>
  <c r="Y64" i="1"/>
  <c r="BC62" i="3"/>
  <c r="Q62" i="3" s="1"/>
  <c r="A66" i="9"/>
  <c r="L65" i="9"/>
  <c r="M65" i="9" s="1"/>
  <c r="K65" i="9"/>
  <c r="N65" i="9" s="1"/>
  <c r="BD63" i="3"/>
  <c r="R63" i="3" s="1"/>
  <c r="Z65" i="1"/>
  <c r="AB65" i="1"/>
  <c r="U66" i="1"/>
  <c r="R67" i="1"/>
  <c r="BA64" i="3"/>
  <c r="O64" i="3" s="1"/>
  <c r="H60" i="9"/>
  <c r="I60" i="9"/>
  <c r="P60" i="9" s="1"/>
  <c r="G60" i="9"/>
  <c r="C60" i="9"/>
  <c r="E60" i="9"/>
  <c r="D60" i="9"/>
  <c r="F60" i="9"/>
  <c r="B61" i="9"/>
  <c r="P61" i="6"/>
  <c r="V67" i="6" l="1"/>
  <c r="S65" i="1"/>
  <c r="BB62" i="3"/>
  <c r="P62" i="3" s="1"/>
  <c r="X62" i="6"/>
  <c r="S63" i="6"/>
  <c r="E61" i="9"/>
  <c r="B62" i="9"/>
  <c r="I61" i="9"/>
  <c r="C61" i="9"/>
  <c r="H61" i="9"/>
  <c r="D61" i="9"/>
  <c r="G61" i="9"/>
  <c r="F61" i="9"/>
  <c r="A67" i="9"/>
  <c r="K66" i="9"/>
  <c r="N66" i="9" s="1"/>
  <c r="L66" i="9"/>
  <c r="M66" i="9" s="1"/>
  <c r="T68" i="6"/>
  <c r="U68" i="6"/>
  <c r="A69" i="6"/>
  <c r="BA65" i="3"/>
  <c r="O65" i="3" s="1"/>
  <c r="R68" i="1"/>
  <c r="P62" i="6"/>
  <c r="AA65" i="1"/>
  <c r="T66" i="1"/>
  <c r="BC63" i="3"/>
  <c r="Q63" i="3" s="1"/>
  <c r="Y65" i="1"/>
  <c r="B64" i="6"/>
  <c r="H63" i="6"/>
  <c r="C63" i="6"/>
  <c r="L63" i="6"/>
  <c r="P63" i="6" s="1"/>
  <c r="Y64" i="6"/>
  <c r="I63" i="6"/>
  <c r="J63" i="6" s="1"/>
  <c r="K63" i="6" s="1"/>
  <c r="D63" i="6"/>
  <c r="P61" i="9"/>
  <c r="BD64" i="3"/>
  <c r="R64" i="3" s="1"/>
  <c r="Z66" i="1"/>
  <c r="AB66" i="1"/>
  <c r="U67" i="1"/>
  <c r="V68" i="6" l="1"/>
  <c r="S66" i="1"/>
  <c r="BB63" i="3"/>
  <c r="P63" i="3" s="1"/>
  <c r="AA66" i="1"/>
  <c r="BC64" i="3"/>
  <c r="Q64" i="3" s="1"/>
  <c r="T67" i="1"/>
  <c r="Y66" i="1"/>
  <c r="T69" i="6"/>
  <c r="U69" i="6"/>
  <c r="A70" i="6"/>
  <c r="X63" i="6"/>
  <c r="S64" i="6"/>
  <c r="D64" i="6"/>
  <c r="L64" i="6"/>
  <c r="P64" i="6" s="1"/>
  <c r="Y65" i="6"/>
  <c r="I64" i="6"/>
  <c r="J64" i="6" s="1"/>
  <c r="K64" i="6" s="1"/>
  <c r="C64" i="6"/>
  <c r="B65" i="6"/>
  <c r="H64" i="6"/>
  <c r="A68" i="9"/>
  <c r="K67" i="9"/>
  <c r="N67" i="9" s="1"/>
  <c r="L67" i="9"/>
  <c r="M67" i="9" s="1"/>
  <c r="Z67" i="1"/>
  <c r="BD65" i="3"/>
  <c r="R65" i="3" s="1"/>
  <c r="AB67" i="1"/>
  <c r="U68" i="1"/>
  <c r="R69" i="1"/>
  <c r="BA66" i="3"/>
  <c r="O66" i="3" s="1"/>
  <c r="C62" i="9"/>
  <c r="F62" i="9"/>
  <c r="I62" i="9"/>
  <c r="G62" i="9"/>
  <c r="H62" i="9"/>
  <c r="D62" i="9"/>
  <c r="E62" i="9"/>
  <c r="B63" i="9"/>
  <c r="V69" i="6" l="1"/>
  <c r="S67" i="1"/>
  <c r="BB64" i="3"/>
  <c r="P64" i="3" s="1"/>
  <c r="U69" i="1"/>
  <c r="Z68" i="1"/>
  <c r="AB68" i="1"/>
  <c r="BD66" i="3"/>
  <c r="R66" i="3" s="1"/>
  <c r="H65" i="6"/>
  <c r="C65" i="6"/>
  <c r="D65" i="6"/>
  <c r="B66" i="6"/>
  <c r="I65" i="6"/>
  <c r="J65" i="6" s="1"/>
  <c r="K65" i="6" s="1"/>
  <c r="L65" i="6"/>
  <c r="P65" i="6" s="1"/>
  <c r="Y66" i="6"/>
  <c r="X64" i="6"/>
  <c r="S65" i="6"/>
  <c r="BA67" i="3"/>
  <c r="O67" i="3" s="1"/>
  <c r="R70" i="1"/>
  <c r="AA67" i="1"/>
  <c r="Y67" i="1"/>
  <c r="T68" i="1"/>
  <c r="BC65" i="3"/>
  <c r="Q65" i="3" s="1"/>
  <c r="A69" i="9"/>
  <c r="K68" i="9"/>
  <c r="N68" i="9" s="1"/>
  <c r="L68" i="9"/>
  <c r="M68" i="9" s="1"/>
  <c r="G63" i="9"/>
  <c r="B64" i="9"/>
  <c r="D63" i="9"/>
  <c r="H63" i="9"/>
  <c r="F63" i="9"/>
  <c r="I63" i="9"/>
  <c r="C63" i="9"/>
  <c r="E63" i="9"/>
  <c r="P62" i="9"/>
  <c r="A71" i="6"/>
  <c r="U70" i="6"/>
  <c r="T70" i="6"/>
  <c r="V70" i="6" s="1"/>
  <c r="S68" i="1" l="1"/>
  <c r="BB65" i="3"/>
  <c r="P65" i="3" s="1"/>
  <c r="G64" i="9"/>
  <c r="H64" i="9"/>
  <c r="B65" i="9"/>
  <c r="E64" i="9"/>
  <c r="D64" i="9"/>
  <c r="F64" i="9"/>
  <c r="C64" i="9"/>
  <c r="I64" i="9"/>
  <c r="Y67" i="6"/>
  <c r="C66" i="6"/>
  <c r="B67" i="6"/>
  <c r="I66" i="6"/>
  <c r="J66" i="6" s="1"/>
  <c r="K66" i="6" s="1"/>
  <c r="D66" i="6"/>
  <c r="H66" i="6"/>
  <c r="L66" i="6"/>
  <c r="R71" i="1"/>
  <c r="BA68" i="3"/>
  <c r="O68" i="3" s="1"/>
  <c r="U70" i="1"/>
  <c r="Z69" i="1"/>
  <c r="BD67" i="3"/>
  <c r="R67" i="3" s="1"/>
  <c r="AB69" i="1"/>
  <c r="U71" i="6"/>
  <c r="T71" i="6"/>
  <c r="V71" i="6" s="1"/>
  <c r="A72" i="6"/>
  <c r="X65" i="6"/>
  <c r="S66" i="6"/>
  <c r="P63" i="9"/>
  <c r="A70" i="9"/>
  <c r="K69" i="9"/>
  <c r="N69" i="9" s="1"/>
  <c r="L69" i="9"/>
  <c r="M69" i="9" s="1"/>
  <c r="BC66" i="3"/>
  <c r="Q66" i="3" s="1"/>
  <c r="Y68" i="1"/>
  <c r="AA68" i="1"/>
  <c r="T69" i="1"/>
  <c r="P66" i="6"/>
  <c r="S69" i="1" l="1"/>
  <c r="BB66" i="3"/>
  <c r="P66" i="3" s="1"/>
  <c r="A71" i="9"/>
  <c r="K70" i="9"/>
  <c r="N70" i="9" s="1"/>
  <c r="L70" i="9"/>
  <c r="M70" i="9" s="1"/>
  <c r="A73" i="6"/>
  <c r="U72" i="6"/>
  <c r="T72" i="6"/>
  <c r="V72" i="6" s="1"/>
  <c r="R72" i="1"/>
  <c r="BA69" i="3"/>
  <c r="O69" i="3" s="1"/>
  <c r="P64" i="9"/>
  <c r="AB70" i="1"/>
  <c r="Z70" i="1"/>
  <c r="BD68" i="3"/>
  <c r="R68" i="3" s="1"/>
  <c r="U71" i="1"/>
  <c r="BC67" i="3"/>
  <c r="Q67" i="3" s="1"/>
  <c r="T70" i="1"/>
  <c r="AA69" i="1"/>
  <c r="Y69" i="1"/>
  <c r="X66" i="6"/>
  <c r="S67" i="6"/>
  <c r="L67" i="6"/>
  <c r="B68" i="6"/>
  <c r="C67" i="6"/>
  <c r="H67" i="6"/>
  <c r="I67" i="6"/>
  <c r="J67" i="6" s="1"/>
  <c r="K67" i="6" s="1"/>
  <c r="D67" i="6"/>
  <c r="Y68" i="6"/>
  <c r="G65" i="9"/>
  <c r="F65" i="9"/>
  <c r="C65" i="9"/>
  <c r="H65" i="9"/>
  <c r="I65" i="9"/>
  <c r="P65" i="9" s="1"/>
  <c r="E65" i="9"/>
  <c r="D65" i="9"/>
  <c r="B66" i="9"/>
  <c r="BB67" i="3" l="1"/>
  <c r="P67" i="3" s="1"/>
  <c r="S70" i="1"/>
  <c r="X67" i="6"/>
  <c r="S68" i="6"/>
  <c r="AA70" i="1"/>
  <c r="T71" i="1"/>
  <c r="BC68" i="3"/>
  <c r="Q68" i="3" s="1"/>
  <c r="Y70" i="1"/>
  <c r="P67" i="6"/>
  <c r="H66" i="9"/>
  <c r="F66" i="9"/>
  <c r="G66" i="9"/>
  <c r="D66" i="9"/>
  <c r="I66" i="9"/>
  <c r="B67" i="9"/>
  <c r="E66" i="9"/>
  <c r="C66" i="9"/>
  <c r="U73" i="6"/>
  <c r="T73" i="6"/>
  <c r="A74" i="6"/>
  <c r="A72" i="9"/>
  <c r="K71" i="9"/>
  <c r="N71" i="9" s="1"/>
  <c r="L71" i="9"/>
  <c r="M71" i="9" s="1"/>
  <c r="Y69" i="6"/>
  <c r="H68" i="6"/>
  <c r="D68" i="6"/>
  <c r="C68" i="6"/>
  <c r="I68" i="6"/>
  <c r="J68" i="6" s="1"/>
  <c r="K68" i="6" s="1"/>
  <c r="B69" i="6"/>
  <c r="L68" i="6"/>
  <c r="P68" i="6" s="1"/>
  <c r="BD69" i="3"/>
  <c r="R69" i="3" s="1"/>
  <c r="Z71" i="1"/>
  <c r="AB71" i="1"/>
  <c r="U72" i="1"/>
  <c r="R73" i="1"/>
  <c r="BA70" i="3"/>
  <c r="O70" i="3" s="1"/>
  <c r="V73" i="6" l="1"/>
  <c r="BB68" i="3"/>
  <c r="P68" i="3" s="1"/>
  <c r="S71" i="1"/>
  <c r="A73" i="9"/>
  <c r="K72" i="9"/>
  <c r="N72" i="9" s="1"/>
  <c r="L72" i="9"/>
  <c r="M72" i="9" s="1"/>
  <c r="Y71" i="1"/>
  <c r="BC69" i="3"/>
  <c r="Q69" i="3" s="1"/>
  <c r="AA71" i="1"/>
  <c r="T72" i="1"/>
  <c r="U73" i="1"/>
  <c r="Z72" i="1"/>
  <c r="BD70" i="3"/>
  <c r="R70" i="3" s="1"/>
  <c r="AB72" i="1"/>
  <c r="B68" i="9"/>
  <c r="D67" i="9"/>
  <c r="E67" i="9"/>
  <c r="H67" i="9"/>
  <c r="C67" i="9"/>
  <c r="I67" i="9"/>
  <c r="P67" i="9" s="1"/>
  <c r="G67" i="9"/>
  <c r="F67" i="9"/>
  <c r="A75" i="6"/>
  <c r="T74" i="6"/>
  <c r="U74" i="6"/>
  <c r="P66" i="9"/>
  <c r="I69" i="6"/>
  <c r="J69" i="6" s="1"/>
  <c r="K69" i="6" s="1"/>
  <c r="D69" i="6"/>
  <c r="C69" i="6"/>
  <c r="Y70" i="6"/>
  <c r="L69" i="6"/>
  <c r="P69" i="6" s="1"/>
  <c r="B70" i="6"/>
  <c r="H69" i="6"/>
  <c r="R74" i="1"/>
  <c r="BA71" i="3"/>
  <c r="O71" i="3" s="1"/>
  <c r="X68" i="6"/>
  <c r="S69" i="6"/>
  <c r="BB69" i="3" l="1"/>
  <c r="P69" i="3" s="1"/>
  <c r="S72" i="1"/>
  <c r="V74" i="6"/>
  <c r="BD71" i="3"/>
  <c r="R71" i="3" s="1"/>
  <c r="AB73" i="1"/>
  <c r="U74" i="1"/>
  <c r="Z73" i="1"/>
  <c r="A74" i="9"/>
  <c r="L73" i="9"/>
  <c r="M73" i="9" s="1"/>
  <c r="K73" i="9"/>
  <c r="N73" i="9" s="1"/>
  <c r="T73" i="1"/>
  <c r="AA72" i="1"/>
  <c r="BC70" i="3"/>
  <c r="Q70" i="3" s="1"/>
  <c r="Y72" i="1"/>
  <c r="R75" i="1"/>
  <c r="BA72" i="3"/>
  <c r="O72" i="3" s="1"/>
  <c r="H70" i="6"/>
  <c r="D70" i="6"/>
  <c r="I70" i="6"/>
  <c r="J70" i="6" s="1"/>
  <c r="K70" i="6" s="1"/>
  <c r="B71" i="6"/>
  <c r="L70" i="6"/>
  <c r="C70" i="6"/>
  <c r="Y71" i="6"/>
  <c r="H68" i="9"/>
  <c r="I68" i="9"/>
  <c r="G68" i="9"/>
  <c r="F68" i="9"/>
  <c r="B69" i="9"/>
  <c r="C68" i="9"/>
  <c r="D68" i="9"/>
  <c r="E68" i="9"/>
  <c r="X69" i="6"/>
  <c r="S70" i="6"/>
  <c r="U75" i="6"/>
  <c r="T75" i="6"/>
  <c r="V75" i="6" s="1"/>
  <c r="A76" i="6"/>
  <c r="BB70" i="3" l="1"/>
  <c r="P70" i="3" s="1"/>
  <c r="S73" i="1"/>
  <c r="G69" i="9"/>
  <c r="C69" i="9"/>
  <c r="E69" i="9"/>
  <c r="F69" i="9"/>
  <c r="B70" i="9"/>
  <c r="D69" i="9"/>
  <c r="H69" i="9"/>
  <c r="I69" i="9"/>
  <c r="X70" i="6"/>
  <c r="S71" i="6"/>
  <c r="R76" i="1"/>
  <c r="BA73" i="3"/>
  <c r="O73" i="3" s="1"/>
  <c r="AA73" i="1"/>
  <c r="T74" i="1"/>
  <c r="Y73" i="1"/>
  <c r="BC71" i="3"/>
  <c r="Q71" i="3" s="1"/>
  <c r="A75" i="9"/>
  <c r="L74" i="9"/>
  <c r="M74" i="9" s="1"/>
  <c r="K74" i="9"/>
  <c r="N74" i="9" s="1"/>
  <c r="A77" i="6"/>
  <c r="U76" i="6"/>
  <c r="T76" i="6"/>
  <c r="V76" i="6" s="1"/>
  <c r="P69" i="9"/>
  <c r="AB74" i="1"/>
  <c r="U75" i="1"/>
  <c r="Z74" i="1"/>
  <c r="BD72" i="3"/>
  <c r="R72" i="3" s="1"/>
  <c r="P68" i="9"/>
  <c r="B72" i="6"/>
  <c r="L71" i="6"/>
  <c r="P71" i="6" s="1"/>
  <c r="I71" i="6"/>
  <c r="J71" i="6" s="1"/>
  <c r="K71" i="6" s="1"/>
  <c r="H71" i="6"/>
  <c r="C71" i="6"/>
  <c r="Y72" i="6"/>
  <c r="D71" i="6"/>
  <c r="P70" i="6"/>
  <c r="BB71" i="3" l="1"/>
  <c r="P71" i="3" s="1"/>
  <c r="S74" i="1"/>
  <c r="AB75" i="1"/>
  <c r="BD73" i="3"/>
  <c r="R73" i="3" s="1"/>
  <c r="Z75" i="1"/>
  <c r="U76" i="1"/>
  <c r="T75" i="1"/>
  <c r="Y74" i="1"/>
  <c r="AA74" i="1"/>
  <c r="BC72" i="3"/>
  <c r="Q72" i="3" s="1"/>
  <c r="BA74" i="3"/>
  <c r="O74" i="3" s="1"/>
  <c r="R77" i="1"/>
  <c r="H70" i="9"/>
  <c r="I70" i="9"/>
  <c r="G70" i="9"/>
  <c r="C70" i="9"/>
  <c r="D70" i="9"/>
  <c r="E70" i="9"/>
  <c r="B71" i="9"/>
  <c r="F70" i="9"/>
  <c r="C72" i="6"/>
  <c r="B73" i="6"/>
  <c r="L72" i="6"/>
  <c r="H72" i="6"/>
  <c r="I72" i="6"/>
  <c r="J72" i="6" s="1"/>
  <c r="K72" i="6" s="1"/>
  <c r="Y73" i="6"/>
  <c r="D72" i="6"/>
  <c r="U77" i="6"/>
  <c r="T77" i="6"/>
  <c r="A78" i="6"/>
  <c r="A76" i="9"/>
  <c r="K75" i="9"/>
  <c r="N75" i="9" s="1"/>
  <c r="L75" i="9"/>
  <c r="M75" i="9" s="1"/>
  <c r="X71" i="6"/>
  <c r="S72" i="6"/>
  <c r="V77" i="6" l="1"/>
  <c r="S75" i="1"/>
  <c r="BB72" i="3"/>
  <c r="P72" i="3" s="1"/>
  <c r="X72" i="6"/>
  <c r="S73" i="6"/>
  <c r="AB76" i="1"/>
  <c r="Z76" i="1"/>
  <c r="U77" i="1"/>
  <c r="BD74" i="3"/>
  <c r="R74" i="3" s="1"/>
  <c r="A79" i="6"/>
  <c r="T78" i="6"/>
  <c r="U78" i="6"/>
  <c r="A77" i="9"/>
  <c r="L76" i="9"/>
  <c r="M76" i="9" s="1"/>
  <c r="K76" i="9"/>
  <c r="N76" i="9" s="1"/>
  <c r="BA75" i="3"/>
  <c r="O75" i="3" s="1"/>
  <c r="R78" i="1"/>
  <c r="P72" i="6"/>
  <c r="P70" i="9"/>
  <c r="B74" i="6"/>
  <c r="H73" i="6"/>
  <c r="Y74" i="6"/>
  <c r="I73" i="6"/>
  <c r="J73" i="6" s="1"/>
  <c r="K73" i="6" s="1"/>
  <c r="C73" i="6"/>
  <c r="L73" i="6"/>
  <c r="P73" i="6" s="1"/>
  <c r="D73" i="6"/>
  <c r="H71" i="9"/>
  <c r="I71" i="9"/>
  <c r="B72" i="9"/>
  <c r="G71" i="9"/>
  <c r="C71" i="9"/>
  <c r="F71" i="9"/>
  <c r="E71" i="9"/>
  <c r="D71" i="9"/>
  <c r="BC73" i="3"/>
  <c r="Q73" i="3" s="1"/>
  <c r="T76" i="1"/>
  <c r="Y75" i="1"/>
  <c r="AA75" i="1"/>
  <c r="V78" i="6" l="1"/>
  <c r="BB73" i="3"/>
  <c r="P73" i="3" s="1"/>
  <c r="S76" i="1"/>
  <c r="B75" i="6"/>
  <c r="D74" i="6"/>
  <c r="I74" i="6"/>
  <c r="J74" i="6" s="1"/>
  <c r="K74" i="6" s="1"/>
  <c r="L74" i="6"/>
  <c r="Y75" i="6"/>
  <c r="C74" i="6"/>
  <c r="H74" i="6"/>
  <c r="X73" i="6"/>
  <c r="S74" i="6"/>
  <c r="H72" i="9"/>
  <c r="D72" i="9"/>
  <c r="G72" i="9"/>
  <c r="C72" i="9"/>
  <c r="I72" i="9"/>
  <c r="B73" i="9"/>
  <c r="F72" i="9"/>
  <c r="E72" i="9"/>
  <c r="A78" i="9"/>
  <c r="L77" i="9"/>
  <c r="M77" i="9" s="1"/>
  <c r="K77" i="9"/>
  <c r="N77" i="9" s="1"/>
  <c r="BD75" i="3"/>
  <c r="R75" i="3" s="1"/>
  <c r="AB77" i="1"/>
  <c r="Z77" i="1"/>
  <c r="U78" i="1"/>
  <c r="BA76" i="3"/>
  <c r="O76" i="3" s="1"/>
  <c r="R79" i="1"/>
  <c r="T77" i="1"/>
  <c r="Y76" i="1"/>
  <c r="AA76" i="1"/>
  <c r="BC74" i="3"/>
  <c r="Q74" i="3" s="1"/>
  <c r="P72" i="9"/>
  <c r="P74" i="6"/>
  <c r="P71" i="9"/>
  <c r="A80" i="6"/>
  <c r="U79" i="6"/>
  <c r="T79" i="6"/>
  <c r="S77" i="1" l="1"/>
  <c r="BB74" i="3"/>
  <c r="P74" i="3" s="1"/>
  <c r="V79" i="6"/>
  <c r="A81" i="6"/>
  <c r="T80" i="6"/>
  <c r="U80" i="6"/>
  <c r="U79" i="1"/>
  <c r="AB78" i="1"/>
  <c r="Z78" i="1"/>
  <c r="BD76" i="3"/>
  <c r="R76" i="3" s="1"/>
  <c r="Y77" i="1"/>
  <c r="AA77" i="1"/>
  <c r="T78" i="1"/>
  <c r="BC75" i="3"/>
  <c r="Q75" i="3" s="1"/>
  <c r="H73" i="9"/>
  <c r="I73" i="9"/>
  <c r="F73" i="9"/>
  <c r="B74" i="9"/>
  <c r="E73" i="9"/>
  <c r="G73" i="9"/>
  <c r="D73" i="9"/>
  <c r="C73" i="9"/>
  <c r="B76" i="6"/>
  <c r="C75" i="6"/>
  <c r="L75" i="6"/>
  <c r="I75" i="6"/>
  <c r="J75" i="6" s="1"/>
  <c r="K75" i="6" s="1"/>
  <c r="H75" i="6"/>
  <c r="D75" i="6"/>
  <c r="Y76" i="6"/>
  <c r="X74" i="6"/>
  <c r="S75" i="6"/>
  <c r="R80" i="1"/>
  <c r="BA77" i="3"/>
  <c r="O77" i="3" s="1"/>
  <c r="A79" i="9"/>
  <c r="L78" i="9"/>
  <c r="M78" i="9" s="1"/>
  <c r="K78" i="9"/>
  <c r="N78" i="9" s="1"/>
  <c r="P73" i="9"/>
  <c r="P75" i="6"/>
  <c r="V80" i="6" l="1"/>
  <c r="BB75" i="3"/>
  <c r="P75" i="3" s="1"/>
  <c r="S78" i="1"/>
  <c r="R81" i="1"/>
  <c r="BA78" i="3"/>
  <c r="O78" i="3" s="1"/>
  <c r="D74" i="9"/>
  <c r="B75" i="9"/>
  <c r="G74" i="9"/>
  <c r="C74" i="9"/>
  <c r="E74" i="9"/>
  <c r="F74" i="9"/>
  <c r="H74" i="9"/>
  <c r="I74" i="9"/>
  <c r="H76" i="6"/>
  <c r="Y77" i="6"/>
  <c r="L76" i="6"/>
  <c r="B77" i="6"/>
  <c r="C76" i="6"/>
  <c r="D76" i="6"/>
  <c r="I76" i="6"/>
  <c r="J76" i="6" s="1"/>
  <c r="K76" i="6" s="1"/>
  <c r="X75" i="6"/>
  <c r="S76" i="6"/>
  <c r="T79" i="1"/>
  <c r="Y78" i="1"/>
  <c r="BC76" i="3"/>
  <c r="Q76" i="3" s="1"/>
  <c r="AA78" i="1"/>
  <c r="BD77" i="3"/>
  <c r="R77" i="3" s="1"/>
  <c r="Z79" i="1"/>
  <c r="U80" i="1"/>
  <c r="AB79" i="1"/>
  <c r="A82" i="6"/>
  <c r="U81" i="6"/>
  <c r="T81" i="6"/>
  <c r="L79" i="9"/>
  <c r="M79" i="9" s="1"/>
  <c r="K79" i="9"/>
  <c r="N79" i="9" s="1"/>
  <c r="A80" i="9"/>
  <c r="V81" i="6" l="1"/>
  <c r="S79" i="1"/>
  <c r="BB76" i="3"/>
  <c r="P76" i="3" s="1"/>
  <c r="Y79" i="1"/>
  <c r="T80" i="1"/>
  <c r="AA79" i="1"/>
  <c r="BC77" i="3"/>
  <c r="Q77" i="3" s="1"/>
  <c r="Y78" i="6"/>
  <c r="L77" i="6"/>
  <c r="P77" i="6" s="1"/>
  <c r="H77" i="6"/>
  <c r="C77" i="6"/>
  <c r="I77" i="6"/>
  <c r="J77" i="6" s="1"/>
  <c r="K77" i="6" s="1"/>
  <c r="D77" i="6"/>
  <c r="B78" i="6"/>
  <c r="BA79" i="3"/>
  <c r="O79" i="3" s="1"/>
  <c r="R82" i="1"/>
  <c r="A81" i="9"/>
  <c r="L80" i="9"/>
  <c r="M80" i="9" s="1"/>
  <c r="K80" i="9"/>
  <c r="N80" i="9" s="1"/>
  <c r="U81" i="1"/>
  <c r="Z80" i="1"/>
  <c r="AB80" i="1"/>
  <c r="BD78" i="3"/>
  <c r="R78" i="3" s="1"/>
  <c r="X76" i="6"/>
  <c r="S77" i="6"/>
  <c r="U82" i="6"/>
  <c r="T82" i="6"/>
  <c r="A83" i="6"/>
  <c r="P74" i="9"/>
  <c r="P76" i="6"/>
  <c r="B76" i="9"/>
  <c r="E75" i="9"/>
  <c r="H75" i="9"/>
  <c r="I75" i="9"/>
  <c r="D75" i="9"/>
  <c r="F75" i="9"/>
  <c r="G75" i="9"/>
  <c r="C75" i="9"/>
  <c r="V82" i="6" l="1"/>
  <c r="BB77" i="3"/>
  <c r="P77" i="3" s="1"/>
  <c r="S80" i="1"/>
  <c r="I76" i="9"/>
  <c r="F76" i="9"/>
  <c r="E76" i="9"/>
  <c r="G76" i="9"/>
  <c r="C76" i="9"/>
  <c r="D76" i="9"/>
  <c r="B77" i="9"/>
  <c r="H76" i="9"/>
  <c r="T81" i="1"/>
  <c r="AA80" i="1"/>
  <c r="BC78" i="3"/>
  <c r="Q78" i="3" s="1"/>
  <c r="Y80" i="1"/>
  <c r="P76" i="9"/>
  <c r="X77" i="6"/>
  <c r="S78" i="6"/>
  <c r="L81" i="9"/>
  <c r="M81" i="9" s="1"/>
  <c r="A82" i="9"/>
  <c r="K81" i="9"/>
  <c r="N81" i="9" s="1"/>
  <c r="H78" i="6"/>
  <c r="C78" i="6"/>
  <c r="I78" i="6"/>
  <c r="J78" i="6" s="1"/>
  <c r="K78" i="6" s="1"/>
  <c r="B79" i="6"/>
  <c r="D78" i="6"/>
  <c r="Y79" i="6"/>
  <c r="L78" i="6"/>
  <c r="P78" i="6" s="1"/>
  <c r="U83" i="6"/>
  <c r="A84" i="6"/>
  <c r="T83" i="6"/>
  <c r="P75" i="9"/>
  <c r="BD79" i="3"/>
  <c r="R79" i="3" s="1"/>
  <c r="AB81" i="1"/>
  <c r="Z81" i="1"/>
  <c r="U82" i="1"/>
  <c r="R83" i="1"/>
  <c r="BA80" i="3"/>
  <c r="O80" i="3" s="1"/>
  <c r="V83" i="6" l="1"/>
  <c r="BB78" i="3"/>
  <c r="P78" i="3" s="1"/>
  <c r="S81" i="1"/>
  <c r="A83" i="9"/>
  <c r="K82" i="9"/>
  <c r="N82" i="9" s="1"/>
  <c r="L82" i="9"/>
  <c r="M82" i="9" s="1"/>
  <c r="Y81" i="1"/>
  <c r="T82" i="1"/>
  <c r="AA81" i="1"/>
  <c r="BC79" i="3"/>
  <c r="Q79" i="3" s="1"/>
  <c r="AB82" i="1"/>
  <c r="BD80" i="3"/>
  <c r="R80" i="3" s="1"/>
  <c r="U83" i="1"/>
  <c r="Z82" i="1"/>
  <c r="X78" i="6"/>
  <c r="S79" i="6"/>
  <c r="C77" i="9"/>
  <c r="B78" i="9"/>
  <c r="E77" i="9"/>
  <c r="I77" i="9"/>
  <c r="G77" i="9"/>
  <c r="D77" i="9"/>
  <c r="H77" i="9"/>
  <c r="F77" i="9"/>
  <c r="Y80" i="6"/>
  <c r="I79" i="6"/>
  <c r="D79" i="6"/>
  <c r="H79" i="6"/>
  <c r="B80" i="6"/>
  <c r="J79" i="6"/>
  <c r="K79" i="6" s="1"/>
  <c r="C79" i="6"/>
  <c r="L79" i="6"/>
  <c r="P79" i="6" s="1"/>
  <c r="BA81" i="3"/>
  <c r="O81" i="3" s="1"/>
  <c r="R84" i="1"/>
  <c r="U84" i="6"/>
  <c r="A85" i="6"/>
  <c r="T84" i="6"/>
  <c r="V84" i="6" s="1"/>
  <c r="BB79" i="3" l="1"/>
  <c r="P79" i="3" s="1"/>
  <c r="S82" i="1"/>
  <c r="AB83" i="1"/>
  <c r="BD81" i="3"/>
  <c r="R81" i="3" s="1"/>
  <c r="U84" i="1"/>
  <c r="Z83" i="1"/>
  <c r="BA82" i="3"/>
  <c r="O82" i="3" s="1"/>
  <c r="R85" i="1"/>
  <c r="X79" i="6"/>
  <c r="S80" i="6"/>
  <c r="H80" i="6"/>
  <c r="I80" i="6"/>
  <c r="J80" i="6" s="1"/>
  <c r="K80" i="6" s="1"/>
  <c r="Y81" i="6"/>
  <c r="D80" i="6"/>
  <c r="B81" i="6"/>
  <c r="C80" i="6"/>
  <c r="L80" i="6"/>
  <c r="Y82" i="1"/>
  <c r="T83" i="1"/>
  <c r="AA82" i="1"/>
  <c r="BC80" i="3"/>
  <c r="Q80" i="3" s="1"/>
  <c r="A84" i="9"/>
  <c r="K83" i="9"/>
  <c r="N83" i="9" s="1"/>
  <c r="L83" i="9"/>
  <c r="M83" i="9" s="1"/>
  <c r="U85" i="6"/>
  <c r="A86" i="6"/>
  <c r="T85" i="6"/>
  <c r="P80" i="6"/>
  <c r="D78" i="9"/>
  <c r="I78" i="9"/>
  <c r="P78" i="9" s="1"/>
  <c r="F78" i="9"/>
  <c r="G78" i="9"/>
  <c r="C78" i="9"/>
  <c r="B79" i="9"/>
  <c r="H78" i="9"/>
  <c r="E78" i="9"/>
  <c r="P77" i="9"/>
  <c r="V85" i="6" l="1"/>
  <c r="S83" i="1"/>
  <c r="BB80" i="3"/>
  <c r="P80" i="3" s="1"/>
  <c r="K84" i="9"/>
  <c r="N84" i="9" s="1"/>
  <c r="L84" i="9"/>
  <c r="M84" i="9" s="1"/>
  <c r="A85" i="9"/>
  <c r="I81" i="6"/>
  <c r="H81" i="6"/>
  <c r="L81" i="6"/>
  <c r="Y82" i="6"/>
  <c r="J81" i="6"/>
  <c r="K81" i="6" s="1"/>
  <c r="D81" i="6"/>
  <c r="C81" i="6"/>
  <c r="B82" i="6"/>
  <c r="BA83" i="3"/>
  <c r="O83" i="3" s="1"/>
  <c r="R86" i="1"/>
  <c r="Z84" i="1"/>
  <c r="U85" i="1"/>
  <c r="AB84" i="1"/>
  <c r="BD82" i="3"/>
  <c r="R82" i="3" s="1"/>
  <c r="T86" i="6"/>
  <c r="U86" i="6"/>
  <c r="A87" i="6"/>
  <c r="AA83" i="1"/>
  <c r="Y83" i="1"/>
  <c r="T84" i="1"/>
  <c r="BC81" i="3"/>
  <c r="Q81" i="3" s="1"/>
  <c r="I79" i="9"/>
  <c r="P79" i="9" s="1"/>
  <c r="F79" i="9"/>
  <c r="G79" i="9"/>
  <c r="H79" i="9"/>
  <c r="E79" i="9"/>
  <c r="D79" i="9"/>
  <c r="C79" i="9"/>
  <c r="B80" i="9"/>
  <c r="X80" i="6"/>
  <c r="S81" i="6"/>
  <c r="V86" i="6" l="1"/>
  <c r="BB81" i="3"/>
  <c r="P81" i="3" s="1"/>
  <c r="S84" i="1"/>
  <c r="U87" i="6"/>
  <c r="T87" i="6"/>
  <c r="A88" i="6"/>
  <c r="BA84" i="3"/>
  <c r="O84" i="3" s="1"/>
  <c r="R87" i="1"/>
  <c r="F80" i="9"/>
  <c r="I80" i="9"/>
  <c r="D80" i="9"/>
  <c r="G80" i="9"/>
  <c r="B81" i="9"/>
  <c r="C80" i="9"/>
  <c r="H80" i="9"/>
  <c r="E80" i="9"/>
  <c r="BD83" i="3"/>
  <c r="R83" i="3" s="1"/>
  <c r="U86" i="1"/>
  <c r="AB85" i="1"/>
  <c r="Z85" i="1"/>
  <c r="Y83" i="6"/>
  <c r="D82" i="6"/>
  <c r="L82" i="6"/>
  <c r="P82" i="6" s="1"/>
  <c r="H82" i="6"/>
  <c r="I82" i="6"/>
  <c r="J82" i="6" s="1"/>
  <c r="K82" i="6" s="1"/>
  <c r="C82" i="6"/>
  <c r="B83" i="6"/>
  <c r="P81" i="6"/>
  <c r="P80" i="9"/>
  <c r="X81" i="6"/>
  <c r="S82" i="6"/>
  <c r="Y84" i="1"/>
  <c r="AA84" i="1"/>
  <c r="BC82" i="3"/>
  <c r="Q82" i="3" s="1"/>
  <c r="T85" i="1"/>
  <c r="K85" i="9"/>
  <c r="N85" i="9" s="1"/>
  <c r="L85" i="9"/>
  <c r="M85" i="9" s="1"/>
  <c r="A86" i="9"/>
  <c r="BB82" i="3" l="1"/>
  <c r="P82" i="3" s="1"/>
  <c r="S85" i="1"/>
  <c r="V87" i="6"/>
  <c r="AA85" i="1"/>
  <c r="T86" i="1"/>
  <c r="BC83" i="3"/>
  <c r="Q83" i="3" s="1"/>
  <c r="Y85" i="1"/>
  <c r="H83" i="6"/>
  <c r="D83" i="6"/>
  <c r="L83" i="6"/>
  <c r="I83" i="6"/>
  <c r="J83" i="6"/>
  <c r="K83" i="6" s="1"/>
  <c r="C83" i="6"/>
  <c r="B84" i="6"/>
  <c r="Y84" i="6"/>
  <c r="BA85" i="3"/>
  <c r="O85" i="3" s="1"/>
  <c r="R88" i="1"/>
  <c r="AB86" i="1"/>
  <c r="BD84" i="3"/>
  <c r="R84" i="3" s="1"/>
  <c r="U87" i="1"/>
  <c r="Z86" i="1"/>
  <c r="P83" i="6"/>
  <c r="X82" i="6"/>
  <c r="S83" i="6"/>
  <c r="K86" i="9"/>
  <c r="N86" i="9" s="1"/>
  <c r="L86" i="9"/>
  <c r="M86" i="9" s="1"/>
  <c r="B82" i="9"/>
  <c r="I81" i="9"/>
  <c r="H81" i="9"/>
  <c r="C81" i="9"/>
  <c r="F81" i="9"/>
  <c r="G81" i="9"/>
  <c r="E81" i="9"/>
  <c r="D81" i="9"/>
  <c r="A89" i="6"/>
  <c r="U88" i="6"/>
  <c r="T88" i="6"/>
  <c r="V88" i="6" l="1"/>
  <c r="BB83" i="3"/>
  <c r="P83" i="3" s="1"/>
  <c r="S86" i="1"/>
  <c r="AB87" i="1"/>
  <c r="BD85" i="3"/>
  <c r="R85" i="3" s="1"/>
  <c r="U88" i="1"/>
  <c r="Z87" i="1"/>
  <c r="AA86" i="1"/>
  <c r="BC84" i="3"/>
  <c r="Q84" i="3" s="1"/>
  <c r="T87" i="1"/>
  <c r="Y86" i="1"/>
  <c r="BA86" i="3"/>
  <c r="O86" i="3" s="1"/>
  <c r="R89" i="1"/>
  <c r="P81" i="9"/>
  <c r="X83" i="6"/>
  <c r="S84" i="6"/>
  <c r="A90" i="6"/>
  <c r="T89" i="6"/>
  <c r="U89" i="6"/>
  <c r="B83" i="9"/>
  <c r="D82" i="9"/>
  <c r="G82" i="9"/>
  <c r="C82" i="9"/>
  <c r="H82" i="9"/>
  <c r="I82" i="9"/>
  <c r="F82" i="9"/>
  <c r="E82" i="9"/>
  <c r="Y85" i="6"/>
  <c r="L84" i="6"/>
  <c r="B85" i="6"/>
  <c r="H84" i="6"/>
  <c r="D84" i="6"/>
  <c r="I84" i="6"/>
  <c r="J84" i="6" s="1"/>
  <c r="K84" i="6" s="1"/>
  <c r="C84" i="6"/>
  <c r="P84" i="6"/>
  <c r="V89" i="6" l="1"/>
  <c r="S87" i="1"/>
  <c r="BB84" i="3"/>
  <c r="P84" i="3" s="1"/>
  <c r="Y87" i="1"/>
  <c r="BC85" i="3"/>
  <c r="Q85" i="3" s="1"/>
  <c r="AA87" i="1"/>
  <c r="T88" i="1"/>
  <c r="C85" i="6"/>
  <c r="Y86" i="6"/>
  <c r="D85" i="6"/>
  <c r="H85" i="6"/>
  <c r="B86" i="6"/>
  <c r="I85" i="6"/>
  <c r="L85" i="6"/>
  <c r="J85" i="6"/>
  <c r="K85" i="6" s="1"/>
  <c r="AB88" i="1"/>
  <c r="Z88" i="1"/>
  <c r="BD86" i="3"/>
  <c r="R86" i="3" s="1"/>
  <c r="U89" i="1"/>
  <c r="I83" i="9"/>
  <c r="P83" i="9" s="1"/>
  <c r="B84" i="9"/>
  <c r="E83" i="9"/>
  <c r="C83" i="9"/>
  <c r="H83" i="9"/>
  <c r="G83" i="9"/>
  <c r="F83" i="9"/>
  <c r="D83" i="9"/>
  <c r="T90" i="6"/>
  <c r="A91" i="6"/>
  <c r="U90" i="6"/>
  <c r="P82" i="9"/>
  <c r="X84" i="6"/>
  <c r="S85" i="6"/>
  <c r="BA87" i="3"/>
  <c r="O87" i="3" s="1"/>
  <c r="R90" i="1"/>
  <c r="V90" i="6" l="1"/>
  <c r="S88" i="1"/>
  <c r="BB85" i="3"/>
  <c r="P85" i="3" s="1"/>
  <c r="Z89" i="1"/>
  <c r="U90" i="1"/>
  <c r="BD87" i="3"/>
  <c r="R87" i="3" s="1"/>
  <c r="AB89" i="1"/>
  <c r="T91" i="6"/>
  <c r="U91" i="6"/>
  <c r="A92" i="6"/>
  <c r="E84" i="9"/>
  <c r="F84" i="9"/>
  <c r="C84" i="9"/>
  <c r="I84" i="9"/>
  <c r="G84" i="9"/>
  <c r="D84" i="9"/>
  <c r="H84" i="9"/>
  <c r="B85" i="9"/>
  <c r="P85" i="6"/>
  <c r="I86" i="6"/>
  <c r="J86" i="6" s="1"/>
  <c r="K86" i="6" s="1"/>
  <c r="B87" i="6"/>
  <c r="D86" i="6"/>
  <c r="H86" i="6"/>
  <c r="L86" i="6"/>
  <c r="P86" i="6" s="1"/>
  <c r="Y87" i="6"/>
  <c r="C86" i="6"/>
  <c r="BA88" i="3"/>
  <c r="O88" i="3" s="1"/>
  <c r="R91" i="1"/>
  <c r="X85" i="6"/>
  <c r="S86" i="6"/>
  <c r="P84" i="9"/>
  <c r="AA88" i="1"/>
  <c r="Y88" i="1"/>
  <c r="BC86" i="3"/>
  <c r="Q86" i="3" s="1"/>
  <c r="T89" i="1"/>
  <c r="V91" i="6" l="1"/>
  <c r="S89" i="1"/>
  <c r="BB86" i="3"/>
  <c r="P86" i="3" s="1"/>
  <c r="BA89" i="3"/>
  <c r="O89" i="3" s="1"/>
  <c r="R92" i="1"/>
  <c r="H87" i="6"/>
  <c r="C87" i="6"/>
  <c r="Y88" i="6"/>
  <c r="I87" i="6"/>
  <c r="J87" i="6" s="1"/>
  <c r="K87" i="6" s="1"/>
  <c r="L87" i="6"/>
  <c r="D87" i="6"/>
  <c r="B88" i="6"/>
  <c r="B86" i="9"/>
  <c r="I85" i="9"/>
  <c r="H85" i="9"/>
  <c r="D85" i="9"/>
  <c r="E85" i="9"/>
  <c r="G85" i="9"/>
  <c r="C85" i="9"/>
  <c r="F85" i="9"/>
  <c r="P85" i="9"/>
  <c r="BD88" i="3"/>
  <c r="R88" i="3" s="1"/>
  <c r="U91" i="1"/>
  <c r="AB90" i="1"/>
  <c r="Z90" i="1"/>
  <c r="A93" i="6"/>
  <c r="U92" i="6"/>
  <c r="T92" i="6"/>
  <c r="V92" i="6" s="1"/>
  <c r="P87" i="6"/>
  <c r="Y89" i="1"/>
  <c r="T90" i="1"/>
  <c r="AA89" i="1"/>
  <c r="BC87" i="3"/>
  <c r="Q87" i="3" s="1"/>
  <c r="X86" i="6"/>
  <c r="S87" i="6"/>
  <c r="S90" i="1" l="1"/>
  <c r="BB87" i="3"/>
  <c r="P87" i="3" s="1"/>
  <c r="D88" i="6"/>
  <c r="H88" i="6"/>
  <c r="B89" i="6"/>
  <c r="Y89" i="6"/>
  <c r="C88" i="6"/>
  <c r="I88" i="6"/>
  <c r="J88" i="6" s="1"/>
  <c r="K88" i="6" s="1"/>
  <c r="L88" i="6"/>
  <c r="BD89" i="3"/>
  <c r="R89" i="3" s="1"/>
  <c r="U92" i="1"/>
  <c r="AB91" i="1"/>
  <c r="Z91" i="1"/>
  <c r="R93" i="1"/>
  <c r="BA90" i="3"/>
  <c r="O90" i="3" s="1"/>
  <c r="P88" i="6"/>
  <c r="X87" i="6"/>
  <c r="S88" i="6"/>
  <c r="T91" i="1"/>
  <c r="AA90" i="1"/>
  <c r="Y90" i="1"/>
  <c r="BC88" i="3"/>
  <c r="Q88" i="3" s="1"/>
  <c r="A94" i="6"/>
  <c r="T93" i="6"/>
  <c r="U93" i="6"/>
  <c r="E86" i="9"/>
  <c r="G86" i="9"/>
  <c r="G87" i="9" s="1"/>
  <c r="D86" i="9"/>
  <c r="I86" i="9"/>
  <c r="H86" i="9"/>
  <c r="H87" i="9" s="1"/>
  <c r="C86" i="9"/>
  <c r="F86" i="9"/>
  <c r="V93" i="6" l="1"/>
  <c r="S91" i="1"/>
  <c r="BB88" i="3"/>
  <c r="P88" i="3" s="1"/>
  <c r="I87" i="9"/>
  <c r="P87" i="9" s="1"/>
  <c r="P86" i="9"/>
  <c r="A95" i="6"/>
  <c r="T94" i="6"/>
  <c r="U94" i="6"/>
  <c r="T92" i="1"/>
  <c r="Y91" i="1"/>
  <c r="AA91" i="1"/>
  <c r="BC89" i="3"/>
  <c r="Q89" i="3" s="1"/>
  <c r="AB92" i="1"/>
  <c r="U93" i="1"/>
  <c r="BD90" i="3"/>
  <c r="R90" i="3" s="1"/>
  <c r="Z92" i="1"/>
  <c r="D89" i="6"/>
  <c r="H89" i="6"/>
  <c r="I89" i="6"/>
  <c r="J89" i="6" s="1"/>
  <c r="K89" i="6" s="1"/>
  <c r="C89" i="6"/>
  <c r="B90" i="6"/>
  <c r="Y90" i="6"/>
  <c r="L89" i="6"/>
  <c r="X88" i="6"/>
  <c r="S89" i="6"/>
  <c r="R94" i="1"/>
  <c r="BA91" i="3"/>
  <c r="O91" i="3" s="1"/>
  <c r="V94" i="6" l="1"/>
  <c r="BB89" i="3"/>
  <c r="P89" i="3" s="1"/>
  <c r="S92" i="1"/>
  <c r="BA92" i="3"/>
  <c r="O92" i="3" s="1"/>
  <c r="R95" i="1"/>
  <c r="X89" i="6"/>
  <c r="S90" i="6"/>
  <c r="D90" i="6"/>
  <c r="H90" i="6"/>
  <c r="I90" i="6"/>
  <c r="Y91" i="6"/>
  <c r="B91" i="6"/>
  <c r="J90" i="6"/>
  <c r="K90" i="6" s="1"/>
  <c r="C90" i="6"/>
  <c r="L90" i="6"/>
  <c r="U94" i="1"/>
  <c r="BD91" i="3"/>
  <c r="R91" i="3" s="1"/>
  <c r="Z93" i="1"/>
  <c r="AB93" i="1"/>
  <c r="P89" i="6"/>
  <c r="T93" i="1"/>
  <c r="BC90" i="3"/>
  <c r="Q90" i="3" s="1"/>
  <c r="Y92" i="1"/>
  <c r="AA92" i="1"/>
  <c r="U95" i="6"/>
  <c r="A96" i="6"/>
  <c r="T95" i="6"/>
  <c r="S93" i="1" l="1"/>
  <c r="BB90" i="3"/>
  <c r="P90" i="3" s="1"/>
  <c r="V95" i="6"/>
  <c r="C91" i="6"/>
  <c r="L91" i="6"/>
  <c r="B92" i="6"/>
  <c r="H91" i="6"/>
  <c r="I91" i="6"/>
  <c r="J91" i="6" s="1"/>
  <c r="K91" i="6" s="1"/>
  <c r="Y92" i="6"/>
  <c r="D91" i="6"/>
  <c r="AA93" i="1"/>
  <c r="Y93" i="1"/>
  <c r="T94" i="1"/>
  <c r="BC91" i="3"/>
  <c r="Q91" i="3" s="1"/>
  <c r="X90" i="6"/>
  <c r="S91" i="6"/>
  <c r="A97" i="6"/>
  <c r="T96" i="6"/>
  <c r="U96" i="6"/>
  <c r="P91" i="6"/>
  <c r="P90" i="6"/>
  <c r="Z94" i="1"/>
  <c r="AB94" i="1"/>
  <c r="U95" i="1"/>
  <c r="BD92" i="3"/>
  <c r="R92" i="3" s="1"/>
  <c r="R96" i="1"/>
  <c r="BA93" i="3"/>
  <c r="O93" i="3" s="1"/>
  <c r="V96" i="6" l="1"/>
  <c r="BB91" i="3"/>
  <c r="P91" i="3" s="1"/>
  <c r="S94" i="1"/>
  <c r="Y93" i="6"/>
  <c r="B93" i="6"/>
  <c r="C92" i="6"/>
  <c r="H92" i="6"/>
  <c r="I92" i="6"/>
  <c r="J92" i="6" s="1"/>
  <c r="K92" i="6" s="1"/>
  <c r="L92" i="6"/>
  <c r="D92" i="6"/>
  <c r="BD93" i="3"/>
  <c r="R93" i="3" s="1"/>
  <c r="Z95" i="1"/>
  <c r="AB95" i="1"/>
  <c r="U96" i="1"/>
  <c r="T97" i="6"/>
  <c r="U97" i="6"/>
  <c r="X91" i="6"/>
  <c r="S92" i="6"/>
  <c r="R97" i="1"/>
  <c r="BA94" i="3"/>
  <c r="O94" i="3" s="1"/>
  <c r="AA94" i="1"/>
  <c r="T95" i="1"/>
  <c r="BC92" i="3"/>
  <c r="Q92" i="3" s="1"/>
  <c r="Y94" i="1"/>
  <c r="V97" i="6" l="1"/>
  <c r="BB92" i="3"/>
  <c r="P92" i="3" s="1"/>
  <c r="S95" i="1"/>
  <c r="BC93" i="3"/>
  <c r="Q93" i="3" s="1"/>
  <c r="Y95" i="1"/>
  <c r="T96" i="1"/>
  <c r="AA95" i="1"/>
  <c r="P92" i="6"/>
  <c r="U97" i="1"/>
  <c r="Z96" i="1"/>
  <c r="BD94" i="3"/>
  <c r="R94" i="3" s="1"/>
  <c r="AB96" i="1"/>
  <c r="X92" i="6"/>
  <c r="S93" i="6"/>
  <c r="L93" i="6"/>
  <c r="B94" i="6"/>
  <c r="H93" i="6"/>
  <c r="Y94" i="6"/>
  <c r="I93" i="6"/>
  <c r="J93" i="6" s="1"/>
  <c r="K93" i="6" s="1"/>
  <c r="D93" i="6"/>
  <c r="C93" i="6"/>
  <c r="R98" i="1"/>
  <c r="BA95" i="3"/>
  <c r="O95" i="3" s="1"/>
  <c r="S96" i="1" l="1"/>
  <c r="BB93" i="3"/>
  <c r="P93" i="3" s="1"/>
  <c r="I94" i="6"/>
  <c r="J94" i="6" s="1"/>
  <c r="K94" i="6" s="1"/>
  <c r="H94" i="6"/>
  <c r="B95" i="6"/>
  <c r="Y95" i="6"/>
  <c r="C94" i="6"/>
  <c r="D94" i="6"/>
  <c r="L94" i="6"/>
  <c r="P94" i="6" s="1"/>
  <c r="P93" i="6"/>
  <c r="R99" i="1"/>
  <c r="BA96" i="3"/>
  <c r="O96" i="3" s="1"/>
  <c r="X93" i="6"/>
  <c r="S94" i="6"/>
  <c r="BC94" i="3"/>
  <c r="Q94" i="3" s="1"/>
  <c r="T97" i="1"/>
  <c r="Y96" i="1"/>
  <c r="AA96" i="1"/>
  <c r="AB97" i="1"/>
  <c r="Z97" i="1"/>
  <c r="BD95" i="3"/>
  <c r="R95" i="3" s="1"/>
  <c r="U98" i="1"/>
  <c r="BB94" i="3" l="1"/>
  <c r="P94" i="3" s="1"/>
  <c r="S97" i="1"/>
  <c r="R100" i="1"/>
  <c r="BA97" i="3"/>
  <c r="O97" i="3" s="1"/>
  <c r="X94" i="6"/>
  <c r="S95" i="6"/>
  <c r="B96" i="6"/>
  <c r="I95" i="6"/>
  <c r="J95" i="6" s="1"/>
  <c r="K95" i="6" s="1"/>
  <c r="C95" i="6"/>
  <c r="D95" i="6"/>
  <c r="Y96" i="6"/>
  <c r="Y5" i="6" s="1"/>
  <c r="N15" i="6" s="1"/>
  <c r="H95" i="6"/>
  <c r="L95" i="6"/>
  <c r="AB98" i="1"/>
  <c r="U99" i="1"/>
  <c r="Z98" i="1"/>
  <c r="BD96" i="3"/>
  <c r="R96" i="3" s="1"/>
  <c r="AA97" i="1"/>
  <c r="T98" i="1"/>
  <c r="BC95" i="3"/>
  <c r="Q95" i="3" s="1"/>
  <c r="Y97" i="1"/>
  <c r="P95" i="6"/>
  <c r="BB95" i="3" l="1"/>
  <c r="P95" i="3" s="1"/>
  <c r="S98" i="1"/>
  <c r="X95" i="6"/>
  <c r="S96" i="6"/>
  <c r="AB99" i="1"/>
  <c r="U100" i="1"/>
  <c r="Z99" i="1"/>
  <c r="BD97" i="3"/>
  <c r="R97" i="3" s="1"/>
  <c r="Y98" i="1"/>
  <c r="AA98" i="1"/>
  <c r="T99" i="1"/>
  <c r="BC96" i="3"/>
  <c r="Q96" i="3" s="1"/>
  <c r="C96" i="6"/>
  <c r="H96" i="6"/>
  <c r="B97" i="6"/>
  <c r="D96" i="6"/>
  <c r="I96" i="6"/>
  <c r="J96" i="6" s="1"/>
  <c r="K96" i="6" s="1"/>
  <c r="L96" i="6"/>
  <c r="Y97" i="6"/>
  <c r="BA98" i="3"/>
  <c r="O98" i="3" s="1"/>
  <c r="R101" i="1"/>
  <c r="BB96" i="3" l="1"/>
  <c r="P96" i="3" s="1"/>
  <c r="S99" i="1"/>
  <c r="BA99" i="3"/>
  <c r="O99" i="3" s="1"/>
  <c r="R102" i="1"/>
  <c r="BC97" i="3"/>
  <c r="Q97" i="3" s="1"/>
  <c r="AA99" i="1"/>
  <c r="Y99" i="1"/>
  <c r="T100" i="1"/>
  <c r="U101" i="1"/>
  <c r="BD98" i="3"/>
  <c r="R98" i="3" s="1"/>
  <c r="AB100" i="1"/>
  <c r="Z100" i="1"/>
  <c r="X96" i="6"/>
  <c r="X6" i="6" s="1"/>
  <c r="S97" i="6"/>
  <c r="X97" i="6" s="1"/>
  <c r="I97" i="6"/>
  <c r="J97" i="6" s="1"/>
  <c r="L97" i="6"/>
  <c r="P97" i="6" s="1"/>
  <c r="H97" i="6"/>
  <c r="D97" i="6"/>
  <c r="C97" i="6"/>
  <c r="P96" i="6"/>
  <c r="BB97" i="3" l="1"/>
  <c r="P97" i="3" s="1"/>
  <c r="S100" i="1"/>
  <c r="J98" i="6"/>
  <c r="K97" i="6"/>
  <c r="K98" i="6" s="1"/>
  <c r="R103" i="1"/>
  <c r="BA100" i="3"/>
  <c r="O100" i="3" s="1"/>
  <c r="T101" i="1"/>
  <c r="AA100" i="1"/>
  <c r="BC98" i="3"/>
  <c r="Q98" i="3" s="1"/>
  <c r="Y100" i="1"/>
  <c r="Z101" i="1"/>
  <c r="BD99" i="3"/>
  <c r="R99" i="3" s="1"/>
  <c r="AB101" i="1"/>
  <c r="U102" i="1"/>
  <c r="L98" i="6"/>
  <c r="P98" i="6" s="1"/>
  <c r="BB98" i="3" l="1"/>
  <c r="P98" i="3" s="1"/>
  <c r="S101" i="1"/>
  <c r="T102" i="1"/>
  <c r="AA101" i="1"/>
  <c r="Y101" i="1"/>
  <c r="BC99" i="3"/>
  <c r="Q99" i="3" s="1"/>
  <c r="AB102" i="1"/>
  <c r="Z102" i="1"/>
  <c r="U103" i="1"/>
  <c r="BD100" i="3"/>
  <c r="R100" i="3" s="1"/>
  <c r="BA101" i="3"/>
  <c r="O101" i="3" s="1"/>
  <c r="R104" i="1"/>
  <c r="BB99" i="3" l="1"/>
  <c r="P99" i="3" s="1"/>
  <c r="S102" i="1"/>
  <c r="AB103" i="1"/>
  <c r="U104" i="1"/>
  <c r="BD101" i="3"/>
  <c r="R101" i="3" s="1"/>
  <c r="Z103" i="1"/>
  <c r="R105" i="1"/>
  <c r="BA102" i="3"/>
  <c r="O102" i="3" s="1"/>
  <c r="Y102" i="1"/>
  <c r="T103" i="1"/>
  <c r="AA102" i="1"/>
  <c r="BC100" i="3"/>
  <c r="Q100" i="3" s="1"/>
  <c r="S103" i="1" l="1"/>
  <c r="BB100" i="3"/>
  <c r="P100" i="3" s="1"/>
  <c r="AA103" i="1"/>
  <c r="BC101" i="3"/>
  <c r="Q101" i="3" s="1"/>
  <c r="Y103" i="1"/>
  <c r="T104" i="1"/>
  <c r="BD102" i="3"/>
  <c r="R102" i="3" s="1"/>
  <c r="U105" i="1"/>
  <c r="Z104" i="1"/>
  <c r="AB104" i="1"/>
  <c r="BA103" i="3"/>
  <c r="O103" i="3" s="1"/>
  <c r="R106" i="1"/>
  <c r="BB101" i="3" l="1"/>
  <c r="P101" i="3" s="1"/>
  <c r="S104" i="1"/>
  <c r="U106" i="1"/>
  <c r="Z105" i="1"/>
  <c r="BD103" i="3"/>
  <c r="R103" i="3" s="1"/>
  <c r="AB105" i="1"/>
  <c r="BA104" i="3"/>
  <c r="O104" i="3" s="1"/>
  <c r="R107" i="1"/>
  <c r="T105" i="1"/>
  <c r="Y104" i="1"/>
  <c r="AA104" i="1"/>
  <c r="BC102" i="3"/>
  <c r="Q102" i="3" s="1"/>
  <c r="BB102" i="3" l="1"/>
  <c r="P102" i="3" s="1"/>
  <c r="S105" i="1"/>
  <c r="R108" i="1"/>
  <c r="BA105" i="3"/>
  <c r="O105" i="3" s="1"/>
  <c r="BC103" i="3"/>
  <c r="Q103" i="3" s="1"/>
  <c r="T106" i="1"/>
  <c r="Y105" i="1"/>
  <c r="AA105" i="1"/>
  <c r="U107" i="1"/>
  <c r="Z106" i="1"/>
  <c r="BD104" i="3"/>
  <c r="R104" i="3" s="1"/>
  <c r="AB106" i="1"/>
  <c r="BB103" i="3" l="1"/>
  <c r="P103" i="3" s="1"/>
  <c r="S106" i="1"/>
  <c r="BC104" i="3"/>
  <c r="Q104" i="3" s="1"/>
  <c r="AA106" i="1"/>
  <c r="Y106" i="1"/>
  <c r="T107" i="1"/>
  <c r="AB107" i="1"/>
  <c r="U108" i="1"/>
  <c r="BD105" i="3"/>
  <c r="R105" i="3" s="1"/>
  <c r="Z107" i="1"/>
  <c r="R109" i="1"/>
  <c r="BA106" i="3"/>
  <c r="O106" i="3" s="1"/>
  <c r="S107" i="1" l="1"/>
  <c r="BB104" i="3"/>
  <c r="P104" i="3" s="1"/>
  <c r="U109" i="1"/>
  <c r="AB108" i="1"/>
  <c r="BD106" i="3"/>
  <c r="R106" i="3" s="1"/>
  <c r="Z108" i="1"/>
  <c r="R110" i="1"/>
  <c r="BA107" i="3"/>
  <c r="O107" i="3" s="1"/>
  <c r="BC105" i="3"/>
  <c r="Q105" i="3" s="1"/>
  <c r="T108" i="1"/>
  <c r="Y107" i="1"/>
  <c r="AA107" i="1"/>
  <c r="BB105" i="3" l="1"/>
  <c r="P105" i="3" s="1"/>
  <c r="S108" i="1"/>
  <c r="AA108" i="1"/>
  <c r="T109" i="1"/>
  <c r="Y108" i="1"/>
  <c r="BC106" i="3"/>
  <c r="Q106" i="3" s="1"/>
  <c r="R111" i="1"/>
  <c r="BA108" i="3"/>
  <c r="O108" i="3" s="1"/>
  <c r="U110" i="1"/>
  <c r="Z109" i="1"/>
  <c r="BD107" i="3"/>
  <c r="R107" i="3" s="1"/>
  <c r="AB109" i="1"/>
  <c r="BB106" i="3" l="1"/>
  <c r="P106" i="3" s="1"/>
  <c r="S109" i="1"/>
  <c r="T110" i="1"/>
  <c r="BC107" i="3"/>
  <c r="Q107" i="3" s="1"/>
  <c r="AA109" i="1"/>
  <c r="Y109" i="1"/>
  <c r="BA109" i="3"/>
  <c r="O109" i="3" s="1"/>
  <c r="R112" i="1"/>
  <c r="U111" i="1"/>
  <c r="Z110" i="1"/>
  <c r="AB110" i="1"/>
  <c r="BD108" i="3"/>
  <c r="R108" i="3" s="1"/>
  <c r="S110" i="1" l="1"/>
  <c r="BB107" i="3"/>
  <c r="P107" i="3" s="1"/>
  <c r="R113" i="1"/>
  <c r="BA110" i="3"/>
  <c r="O110" i="3" s="1"/>
  <c r="U112" i="1"/>
  <c r="Z111" i="1"/>
  <c r="AB111" i="1"/>
  <c r="BD109" i="3"/>
  <c r="R109" i="3" s="1"/>
  <c r="BC108" i="3"/>
  <c r="Q108" i="3" s="1"/>
  <c r="Y110" i="1"/>
  <c r="T111" i="1"/>
  <c r="AA110" i="1"/>
  <c r="S111" i="1" l="1"/>
  <c r="BB108" i="3"/>
  <c r="P108" i="3" s="1"/>
  <c r="Y111" i="1"/>
  <c r="BC109" i="3"/>
  <c r="Q109" i="3" s="1"/>
  <c r="AA111" i="1"/>
  <c r="T112" i="1"/>
  <c r="BA111" i="3"/>
  <c r="O111" i="3" s="1"/>
  <c r="R114" i="1"/>
  <c r="AB112" i="1"/>
  <c r="BD110" i="3"/>
  <c r="R110" i="3" s="1"/>
  <c r="Z112" i="1"/>
  <c r="U113" i="1"/>
  <c r="BB109" i="3" l="1"/>
  <c r="P109" i="3" s="1"/>
  <c r="S112" i="1"/>
  <c r="BD111" i="3"/>
  <c r="R111" i="3" s="1"/>
  <c r="Z113" i="1"/>
  <c r="AB113" i="1"/>
  <c r="U114" i="1"/>
  <c r="Y112" i="1"/>
  <c r="T113" i="1"/>
  <c r="AA112" i="1"/>
  <c r="BC110" i="3"/>
  <c r="Q110" i="3" s="1"/>
  <c r="R115" i="1"/>
  <c r="BA112" i="3"/>
  <c r="O112" i="3" s="1"/>
  <c r="BB110" i="3" l="1"/>
  <c r="P110" i="3" s="1"/>
  <c r="S113" i="1"/>
  <c r="R116" i="1"/>
  <c r="BA113" i="3"/>
  <c r="O113" i="3" s="1"/>
  <c r="Y113" i="1"/>
  <c r="AA113" i="1"/>
  <c r="T114" i="1"/>
  <c r="BC111" i="3"/>
  <c r="Q111" i="3" s="1"/>
  <c r="BD112" i="3"/>
  <c r="R112" i="3" s="1"/>
  <c r="Z114" i="1"/>
  <c r="U115" i="1"/>
  <c r="AB114" i="1"/>
  <c r="S114" i="1" l="1"/>
  <c r="BB111" i="3"/>
  <c r="P111" i="3" s="1"/>
  <c r="AB115" i="1"/>
  <c r="Z115" i="1"/>
  <c r="U116" i="1"/>
  <c r="BD113" i="3"/>
  <c r="R113" i="3" s="1"/>
  <c r="T115" i="1"/>
  <c r="Y114" i="1"/>
  <c r="AA114" i="1"/>
  <c r="BC112" i="3"/>
  <c r="Q112" i="3" s="1"/>
  <c r="BA114" i="3"/>
  <c r="O114" i="3" s="1"/>
  <c r="R117" i="1"/>
  <c r="BB112" i="3" l="1"/>
  <c r="P112" i="3" s="1"/>
  <c r="S115" i="1"/>
  <c r="R118" i="1"/>
  <c r="BA115" i="3"/>
  <c r="O115" i="3" s="1"/>
  <c r="BC113" i="3"/>
  <c r="Q113" i="3" s="1"/>
  <c r="Y115" i="1"/>
  <c r="T116" i="1"/>
  <c r="AA115" i="1"/>
  <c r="Z116" i="1"/>
  <c r="BD114" i="3"/>
  <c r="R114" i="3" s="1"/>
  <c r="U117" i="1"/>
  <c r="AB116" i="1"/>
  <c r="S116" i="1" l="1"/>
  <c r="BB113" i="3"/>
  <c r="P113" i="3" s="1"/>
  <c r="AB117" i="1"/>
  <c r="Z117" i="1"/>
  <c r="U118" i="1"/>
  <c r="BD115" i="3"/>
  <c r="R115" i="3" s="1"/>
  <c r="Y116" i="1"/>
  <c r="AA116" i="1"/>
  <c r="T117" i="1"/>
  <c r="BC114" i="3"/>
  <c r="Q114" i="3" s="1"/>
  <c r="R119" i="1"/>
  <c r="BA116" i="3"/>
  <c r="O116" i="3" s="1"/>
  <c r="BB114" i="3" l="1"/>
  <c r="P114" i="3" s="1"/>
  <c r="S117" i="1"/>
  <c r="BA117" i="3"/>
  <c r="O117" i="3" s="1"/>
  <c r="R120" i="1"/>
  <c r="AA117" i="1"/>
  <c r="Y117" i="1"/>
  <c r="T118" i="1"/>
  <c r="BC115" i="3"/>
  <c r="Q115" i="3" s="1"/>
  <c r="AB118" i="1"/>
  <c r="BD116" i="3"/>
  <c r="R116" i="3" s="1"/>
  <c r="U119" i="1"/>
  <c r="Z118" i="1"/>
  <c r="S118" i="1" l="1"/>
  <c r="BB115" i="3"/>
  <c r="P115" i="3" s="1"/>
  <c r="BD117" i="3"/>
  <c r="R117" i="3" s="1"/>
  <c r="Z119" i="1"/>
  <c r="AB119" i="1"/>
  <c r="U120" i="1"/>
  <c r="AA118" i="1"/>
  <c r="Y118" i="1"/>
  <c r="T119" i="1"/>
  <c r="BC116" i="3"/>
  <c r="Q116" i="3" s="1"/>
  <c r="R121" i="1"/>
  <c r="BA118" i="3"/>
  <c r="O118" i="3" s="1"/>
  <c r="S119" i="1" l="1"/>
  <c r="BB116" i="3"/>
  <c r="P116" i="3" s="1"/>
  <c r="BA119" i="3"/>
  <c r="O119" i="3" s="1"/>
  <c r="R122" i="1"/>
  <c r="AB120" i="1"/>
  <c r="Z120" i="1"/>
  <c r="BD118" i="3"/>
  <c r="R118" i="3" s="1"/>
  <c r="U121" i="1"/>
  <c r="BC117" i="3"/>
  <c r="Q117" i="3" s="1"/>
  <c r="AA119" i="1"/>
  <c r="Y119" i="1"/>
  <c r="T120" i="1"/>
  <c r="BB117" i="3" l="1"/>
  <c r="P117" i="3" s="1"/>
  <c r="S120" i="1"/>
  <c r="Z121" i="1"/>
  <c r="U122" i="1"/>
  <c r="BD119" i="3"/>
  <c r="R119" i="3" s="1"/>
  <c r="AB121" i="1"/>
  <c r="R123" i="1"/>
  <c r="BA120" i="3"/>
  <c r="O120" i="3" s="1"/>
  <c r="Y120" i="1"/>
  <c r="AA120" i="1"/>
  <c r="T121" i="1"/>
  <c r="BC118" i="3"/>
  <c r="Q118" i="3" s="1"/>
  <c r="S121" i="1" l="1"/>
  <c r="BB118" i="3"/>
  <c r="P118" i="3" s="1"/>
  <c r="Z122" i="1"/>
  <c r="AB122" i="1"/>
  <c r="BD120" i="3"/>
  <c r="R120" i="3" s="1"/>
  <c r="U123" i="1"/>
  <c r="BC119" i="3"/>
  <c r="Q119" i="3" s="1"/>
  <c r="AA121" i="1"/>
  <c r="T122" i="1"/>
  <c r="Y121" i="1"/>
  <c r="R124" i="1"/>
  <c r="BA121" i="3"/>
  <c r="O121" i="3" s="1"/>
  <c r="S122" i="1" l="1"/>
  <c r="BB119" i="3"/>
  <c r="P119" i="3" s="1"/>
  <c r="U124" i="1"/>
  <c r="AB123" i="1"/>
  <c r="Z123" i="1"/>
  <c r="BD121" i="3"/>
  <c r="R121" i="3" s="1"/>
  <c r="BC120" i="3"/>
  <c r="Q120" i="3" s="1"/>
  <c r="Y122" i="1"/>
  <c r="T123" i="1"/>
  <c r="AA122" i="1"/>
  <c r="BA122" i="3"/>
  <c r="O122" i="3" s="1"/>
  <c r="R125" i="1"/>
  <c r="S123" i="1" l="1"/>
  <c r="BB120" i="3"/>
  <c r="P120" i="3" s="1"/>
  <c r="BD122" i="3"/>
  <c r="R122" i="3" s="1"/>
  <c r="Z124" i="1"/>
  <c r="AB124" i="1"/>
  <c r="U125" i="1"/>
  <c r="R126" i="1"/>
  <c r="BA123" i="3"/>
  <c r="O123" i="3" s="1"/>
  <c r="AA123" i="1"/>
  <c r="Y123" i="1"/>
  <c r="BC121" i="3"/>
  <c r="Q121" i="3" s="1"/>
  <c r="T124" i="1"/>
  <c r="S124" i="1" l="1"/>
  <c r="BB121" i="3"/>
  <c r="P121" i="3" s="1"/>
  <c r="U126" i="1"/>
  <c r="Z125" i="1"/>
  <c r="AB125" i="1"/>
  <c r="BD123" i="3"/>
  <c r="R123" i="3" s="1"/>
  <c r="Y124" i="1"/>
  <c r="T125" i="1"/>
  <c r="AA124" i="1"/>
  <c r="BC122" i="3"/>
  <c r="Q122" i="3" s="1"/>
  <c r="R127" i="1"/>
  <c r="BA124" i="3"/>
  <c r="O124" i="3" s="1"/>
  <c r="BB122" i="3" l="1"/>
  <c r="P122" i="3" s="1"/>
  <c r="S125" i="1"/>
  <c r="BA125" i="3"/>
  <c r="O125" i="3" s="1"/>
  <c r="R128" i="1"/>
  <c r="T126" i="1"/>
  <c r="Y125" i="1"/>
  <c r="BC123" i="3"/>
  <c r="Q123" i="3" s="1"/>
  <c r="AA125" i="1"/>
  <c r="BD124" i="3"/>
  <c r="R124" i="3" s="1"/>
  <c r="U127" i="1"/>
  <c r="Z126" i="1"/>
  <c r="AB126" i="1"/>
  <c r="BB123" i="3" l="1"/>
  <c r="P123" i="3" s="1"/>
  <c r="S126" i="1"/>
  <c r="Y126" i="1"/>
  <c r="T127" i="1"/>
  <c r="AA126" i="1"/>
  <c r="BC124" i="3"/>
  <c r="Q124" i="3" s="1"/>
  <c r="AB127" i="1"/>
  <c r="Z127" i="1"/>
  <c r="BD125" i="3"/>
  <c r="R125" i="3" s="1"/>
  <c r="U128" i="1"/>
  <c r="BA126" i="3"/>
  <c r="O126" i="3" s="1"/>
  <c r="R129" i="1"/>
  <c r="S127" i="1" l="1"/>
  <c r="BB124" i="3"/>
  <c r="P124" i="3" s="1"/>
  <c r="Z128" i="1"/>
  <c r="U129" i="1"/>
  <c r="BD126" i="3"/>
  <c r="R126" i="3" s="1"/>
  <c r="AB128" i="1"/>
  <c r="R130" i="1"/>
  <c r="BA127" i="3"/>
  <c r="O127" i="3" s="1"/>
  <c r="T128" i="1"/>
  <c r="Y127" i="1"/>
  <c r="BC125" i="3"/>
  <c r="Q125" i="3" s="1"/>
  <c r="AA127" i="1"/>
  <c r="S128" i="1" l="1"/>
  <c r="BB125" i="3"/>
  <c r="P125" i="3" s="1"/>
  <c r="BD127" i="3"/>
  <c r="R127" i="3" s="1"/>
  <c r="Z129" i="1"/>
  <c r="U130" i="1"/>
  <c r="AB129" i="1"/>
  <c r="BA128" i="3"/>
  <c r="O128" i="3" s="1"/>
  <c r="R131" i="1"/>
  <c r="AA128" i="1"/>
  <c r="T129" i="1"/>
  <c r="Y128" i="1"/>
  <c r="BC126" i="3"/>
  <c r="Q126" i="3" s="1"/>
  <c r="S129" i="1" l="1"/>
  <c r="BB126" i="3"/>
  <c r="P126" i="3" s="1"/>
  <c r="Z130" i="1"/>
  <c r="U131" i="1"/>
  <c r="BD128" i="3"/>
  <c r="R128" i="3" s="1"/>
  <c r="AB130" i="1"/>
  <c r="AA129" i="1"/>
  <c r="Y129" i="1"/>
  <c r="T130" i="1"/>
  <c r="BC127" i="3"/>
  <c r="Q127" i="3" s="1"/>
  <c r="BA129" i="3"/>
  <c r="O129" i="3" s="1"/>
  <c r="R132" i="1"/>
  <c r="BB127" i="3" l="1"/>
  <c r="P127" i="3" s="1"/>
  <c r="S130" i="1"/>
  <c r="U132" i="1"/>
  <c r="Z131" i="1"/>
  <c r="AB131" i="1"/>
  <c r="BD129" i="3"/>
  <c r="R129" i="3" s="1"/>
  <c r="BA130" i="3"/>
  <c r="O130" i="3" s="1"/>
  <c r="R133" i="1"/>
  <c r="BC128" i="3"/>
  <c r="Q128" i="3" s="1"/>
  <c r="Y130" i="1"/>
  <c r="AA130" i="1"/>
  <c r="T131" i="1"/>
  <c r="BB128" i="3" l="1"/>
  <c r="P128" i="3" s="1"/>
  <c r="S131" i="1"/>
  <c r="AA131" i="1"/>
  <c r="Y131" i="1"/>
  <c r="T132" i="1"/>
  <c r="BC129" i="3"/>
  <c r="Q129" i="3" s="1"/>
  <c r="R134" i="1"/>
  <c r="BA131" i="3"/>
  <c r="O131" i="3" s="1"/>
  <c r="Z132" i="1"/>
  <c r="U133" i="1"/>
  <c r="BD130" i="3"/>
  <c r="R130" i="3" s="1"/>
  <c r="AB132" i="1"/>
  <c r="BB129" i="3" l="1"/>
  <c r="P129" i="3" s="1"/>
  <c r="S132" i="1"/>
  <c r="Y132" i="1"/>
  <c r="AA132" i="1"/>
  <c r="T133" i="1"/>
  <c r="BC130" i="3"/>
  <c r="Q130" i="3" s="1"/>
  <c r="BD131" i="3"/>
  <c r="R131" i="3" s="1"/>
  <c r="U134" i="1"/>
  <c r="AB133" i="1"/>
  <c r="Z133" i="1"/>
  <c r="BA132" i="3"/>
  <c r="O132" i="3" s="1"/>
  <c r="R135" i="1"/>
  <c r="S133" i="1" l="1"/>
  <c r="BB130" i="3"/>
  <c r="P130" i="3" s="1"/>
  <c r="AA133" i="1"/>
  <c r="T134" i="1"/>
  <c r="BC131" i="3"/>
  <c r="Q131" i="3" s="1"/>
  <c r="Y133" i="1"/>
  <c r="AB134" i="1"/>
  <c r="U135" i="1"/>
  <c r="BD132" i="3"/>
  <c r="R132" i="3" s="1"/>
  <c r="Z134" i="1"/>
  <c r="R136" i="1"/>
  <c r="BA133" i="3"/>
  <c r="O133" i="3" s="1"/>
  <c r="BB131" i="3" l="1"/>
  <c r="P131" i="3" s="1"/>
  <c r="S134" i="1"/>
  <c r="BA134" i="3"/>
  <c r="O134" i="3" s="1"/>
  <c r="R137" i="1"/>
  <c r="AB135" i="1"/>
  <c r="Z135" i="1"/>
  <c r="U136" i="1"/>
  <c r="BD133" i="3"/>
  <c r="R133" i="3" s="1"/>
  <c r="Y134" i="1"/>
  <c r="BC132" i="3"/>
  <c r="Q132" i="3" s="1"/>
  <c r="AA134" i="1"/>
  <c r="T135" i="1"/>
  <c r="BB132" i="3" l="1"/>
  <c r="P132" i="3" s="1"/>
  <c r="S135" i="1"/>
  <c r="AA135" i="1"/>
  <c r="Y135" i="1"/>
  <c r="BC133" i="3"/>
  <c r="Q133" i="3" s="1"/>
  <c r="T136" i="1"/>
  <c r="BD134" i="3"/>
  <c r="R134" i="3" s="1"/>
  <c r="U137" i="1"/>
  <c r="Z136" i="1"/>
  <c r="AB136" i="1"/>
  <c r="R138" i="1"/>
  <c r="BA135" i="3"/>
  <c r="O135" i="3" s="1"/>
  <c r="BB133" i="3" l="1"/>
  <c r="P133" i="3" s="1"/>
  <c r="S136" i="1"/>
  <c r="Y136" i="1"/>
  <c r="T137" i="1"/>
  <c r="AA136" i="1"/>
  <c r="BC134" i="3"/>
  <c r="Q134" i="3" s="1"/>
  <c r="R139" i="1"/>
  <c r="BA136" i="3"/>
  <c r="O136" i="3" s="1"/>
  <c r="Z137" i="1"/>
  <c r="U138" i="1"/>
  <c r="AB137" i="1"/>
  <c r="BD135" i="3"/>
  <c r="R135" i="3" s="1"/>
  <c r="BB134" i="3" l="1"/>
  <c r="P134" i="3" s="1"/>
  <c r="S137" i="1"/>
  <c r="AA137" i="1"/>
  <c r="T138" i="1"/>
  <c r="Y137" i="1"/>
  <c r="BC135" i="3"/>
  <c r="Q135" i="3" s="1"/>
  <c r="U139" i="1"/>
  <c r="Z138" i="1"/>
  <c r="AB138" i="1"/>
  <c r="BD136" i="3"/>
  <c r="R136" i="3" s="1"/>
  <c r="R140" i="1"/>
  <c r="BA137" i="3"/>
  <c r="O137" i="3" s="1"/>
  <c r="BB135" i="3" l="1"/>
  <c r="P135" i="3" s="1"/>
  <c r="S138" i="1"/>
  <c r="BA138" i="3"/>
  <c r="O138" i="3" s="1"/>
  <c r="R141" i="1"/>
  <c r="Y138" i="1"/>
  <c r="AA138" i="1"/>
  <c r="BC136" i="3"/>
  <c r="Q136" i="3" s="1"/>
  <c r="T139" i="1"/>
  <c r="Z139" i="1"/>
  <c r="U140" i="1"/>
  <c r="BD137" i="3"/>
  <c r="R137" i="3" s="1"/>
  <c r="AB139" i="1"/>
  <c r="S139" i="1" l="1"/>
  <c r="BB136" i="3"/>
  <c r="P136" i="3" s="1"/>
  <c r="Z140" i="1"/>
  <c r="BD138" i="3"/>
  <c r="R138" i="3" s="1"/>
  <c r="U141" i="1"/>
  <c r="AB140" i="1"/>
  <c r="BC137" i="3"/>
  <c r="Q137" i="3" s="1"/>
  <c r="T140" i="1"/>
  <c r="Y139" i="1"/>
  <c r="AA139" i="1"/>
  <c r="BA139" i="3"/>
  <c r="O139" i="3" s="1"/>
  <c r="R142" i="1"/>
  <c r="BB137" i="3" l="1"/>
  <c r="P137" i="3" s="1"/>
  <c r="S140" i="1"/>
  <c r="R143" i="1"/>
  <c r="BA140" i="3"/>
  <c r="O140" i="3" s="1"/>
  <c r="Y140" i="1"/>
  <c r="T141" i="1"/>
  <c r="BC138" i="3"/>
  <c r="Q138" i="3" s="1"/>
  <c r="AA140" i="1"/>
  <c r="BD139" i="3"/>
  <c r="R139" i="3" s="1"/>
  <c r="AB141" i="1"/>
  <c r="Z141" i="1"/>
  <c r="U142" i="1"/>
  <c r="BB138" i="3" l="1"/>
  <c r="P138" i="3" s="1"/>
  <c r="S141" i="1"/>
  <c r="Y141" i="1"/>
  <c r="BC139" i="3"/>
  <c r="Q139" i="3" s="1"/>
  <c r="AA141" i="1"/>
  <c r="T142" i="1"/>
  <c r="Z142" i="1"/>
  <c r="U143" i="1"/>
  <c r="BD140" i="3"/>
  <c r="R140" i="3" s="1"/>
  <c r="AB142" i="1"/>
  <c r="R144" i="1"/>
  <c r="BA141" i="3"/>
  <c r="O141" i="3" s="1"/>
  <c r="BB139" i="3" l="1"/>
  <c r="P139" i="3" s="1"/>
  <c r="S142" i="1"/>
  <c r="AN16" i="3"/>
  <c r="B15" i="4" s="1"/>
  <c r="AN14" i="3"/>
  <c r="B13" i="4" s="1"/>
  <c r="AN15" i="3"/>
  <c r="B14" i="4" s="1"/>
  <c r="AN11" i="3"/>
  <c r="B10" i="4" s="1"/>
  <c r="AN9" i="3"/>
  <c r="B8" i="4" s="1"/>
  <c r="AN10" i="3"/>
  <c r="B9" i="4" s="1"/>
  <c r="AN13" i="3"/>
  <c r="B12" i="4" s="1"/>
  <c r="AN7" i="3"/>
  <c r="B6" i="4" s="1"/>
  <c r="S6" i="4" s="1"/>
  <c r="AN8" i="3"/>
  <c r="B7" i="4" s="1"/>
  <c r="S7" i="4" s="1"/>
  <c r="AN12" i="3"/>
  <c r="B11" i="4" s="1"/>
  <c r="Z143" i="1"/>
  <c r="U144" i="1"/>
  <c r="AB143" i="1"/>
  <c r="BD141" i="3"/>
  <c r="R141" i="3" s="1"/>
  <c r="Y142" i="1"/>
  <c r="AA142" i="1"/>
  <c r="T143" i="1"/>
  <c r="BC140" i="3"/>
  <c r="Q140" i="3" s="1"/>
  <c r="BA142" i="3"/>
  <c r="O142" i="3" s="1"/>
  <c r="R145" i="1"/>
  <c r="S143" i="1" l="1"/>
  <c r="BB140" i="3"/>
  <c r="P140" i="3" s="1"/>
  <c r="Y143" i="1"/>
  <c r="AA143" i="1"/>
  <c r="T144" i="1"/>
  <c r="BC141" i="3"/>
  <c r="Q141" i="3" s="1"/>
  <c r="V6" i="4"/>
  <c r="X6" i="4"/>
  <c r="W6" i="4"/>
  <c r="T6" i="4"/>
  <c r="T7" i="4" s="1"/>
  <c r="Z144" i="1"/>
  <c r="AB144" i="1"/>
  <c r="U145" i="1"/>
  <c r="BD142" i="3"/>
  <c r="R142" i="3" s="1"/>
  <c r="R146" i="1"/>
  <c r="BA143" i="3"/>
  <c r="O143" i="3" s="1"/>
  <c r="AF7" i="3"/>
  <c r="AF8" i="3"/>
  <c r="AF11" i="3"/>
  <c r="AF14" i="3"/>
  <c r="AF9" i="3"/>
  <c r="AF25" i="3"/>
  <c r="AF26" i="3"/>
  <c r="AF12" i="3"/>
  <c r="AF21" i="3"/>
  <c r="AF18" i="3"/>
  <c r="AF10" i="3"/>
  <c r="AF29" i="3"/>
  <c r="AF32" i="3"/>
  <c r="AF28" i="3"/>
  <c r="AF20" i="3"/>
  <c r="AF22" i="3"/>
  <c r="AF19" i="3"/>
  <c r="AF24" i="3"/>
  <c r="AF30" i="3"/>
  <c r="AF27" i="3"/>
  <c r="AF33" i="3"/>
  <c r="AF23" i="3"/>
  <c r="AF35" i="3"/>
  <c r="AF16" i="3"/>
  <c r="AF34" i="3"/>
  <c r="AF17" i="3"/>
  <c r="AF13" i="3"/>
  <c r="AF31" i="3"/>
  <c r="AF15" i="3"/>
  <c r="V7" i="4"/>
  <c r="W7" i="4"/>
  <c r="X7" i="4"/>
  <c r="BB141" i="3" l="1"/>
  <c r="P141" i="3" s="1"/>
  <c r="S144" i="1"/>
  <c r="K14" i="8"/>
  <c r="AE15" i="3"/>
  <c r="G14" i="5"/>
  <c r="K21" i="8"/>
  <c r="G21" i="5"/>
  <c r="AE22" i="3"/>
  <c r="K28" i="8"/>
  <c r="G28" i="5"/>
  <c r="AE29" i="3"/>
  <c r="G11" i="5"/>
  <c r="K11" i="8"/>
  <c r="AE12" i="3"/>
  <c r="G8" i="5"/>
  <c r="K8" i="8"/>
  <c r="AE9" i="3"/>
  <c r="X7" i="3"/>
  <c r="G6" i="5"/>
  <c r="K6" i="8"/>
  <c r="K12" i="8"/>
  <c r="AE13" i="3"/>
  <c r="G12" i="5"/>
  <c r="K16" i="8"/>
  <c r="G16" i="5"/>
  <c r="AE17" i="3"/>
  <c r="G26" i="5"/>
  <c r="K26" i="8"/>
  <c r="AE27" i="3"/>
  <c r="K19" i="8"/>
  <c r="G19" i="5"/>
  <c r="AE20" i="3"/>
  <c r="K9" i="8"/>
  <c r="AE10" i="3"/>
  <c r="G9" i="5"/>
  <c r="K13" i="8"/>
  <c r="G13" i="5"/>
  <c r="AE14" i="3"/>
  <c r="AB145" i="1"/>
  <c r="Z145" i="1"/>
  <c r="U146" i="1"/>
  <c r="BD143" i="3"/>
  <c r="R143" i="3" s="1"/>
  <c r="G30" i="5"/>
  <c r="K30" i="8"/>
  <c r="AE31" i="3"/>
  <c r="K15" i="8"/>
  <c r="G15" i="5"/>
  <c r="AE16" i="3"/>
  <c r="G23" i="5"/>
  <c r="K23" i="8"/>
  <c r="AE24" i="3"/>
  <c r="G27" i="5"/>
  <c r="K27" i="8"/>
  <c r="AE28" i="3"/>
  <c r="G17" i="5"/>
  <c r="K17" i="8"/>
  <c r="AE18" i="3"/>
  <c r="K10" i="8"/>
  <c r="G10" i="5"/>
  <c r="AE11" i="3"/>
  <c r="BA144" i="3"/>
  <c r="O144" i="3" s="1"/>
  <c r="R147" i="1"/>
  <c r="Z7" i="3"/>
  <c r="Z8" i="3"/>
  <c r="Z9" i="3"/>
  <c r="Z11" i="3"/>
  <c r="Z10" i="3"/>
  <c r="Z16" i="3"/>
  <c r="Z24" i="3"/>
  <c r="Z26" i="3"/>
  <c r="Z17" i="3"/>
  <c r="Z23" i="3"/>
  <c r="Z33" i="3"/>
  <c r="Z29" i="3"/>
  <c r="Z31" i="3"/>
  <c r="Z19" i="3"/>
  <c r="Z13" i="3"/>
  <c r="Z25" i="3"/>
  <c r="Z34" i="3"/>
  <c r="Z32" i="3"/>
  <c r="Z35" i="3"/>
  <c r="Z22" i="3"/>
  <c r="Z20" i="3"/>
  <c r="Z15" i="3"/>
  <c r="Z27" i="3"/>
  <c r="Z36" i="3"/>
  <c r="Z28" i="3"/>
  <c r="Z12" i="3"/>
  <c r="Z18" i="3"/>
  <c r="Z37" i="3"/>
  <c r="Z14" i="3"/>
  <c r="Z21" i="3"/>
  <c r="Z30" i="3"/>
  <c r="K33" i="8"/>
  <c r="G33" i="5"/>
  <c r="K34" i="8"/>
  <c r="G34" i="5"/>
  <c r="AE35" i="3"/>
  <c r="K22" i="8"/>
  <c r="G22" i="5"/>
  <c r="AE23" i="3"/>
  <c r="G32" i="5"/>
  <c r="K32" i="8"/>
  <c r="AE33" i="3"/>
  <c r="K29" i="8"/>
  <c r="G29" i="5"/>
  <c r="AE30" i="3"/>
  <c r="K18" i="8"/>
  <c r="G18" i="5"/>
  <c r="AE19" i="3"/>
  <c r="K31" i="8"/>
  <c r="G31" i="5"/>
  <c r="AE32" i="3"/>
  <c r="G20" i="5"/>
  <c r="K20" i="8"/>
  <c r="G25" i="5"/>
  <c r="K25" i="8"/>
  <c r="AE26" i="3"/>
  <c r="G24" i="5"/>
  <c r="K24" i="8"/>
  <c r="AE25" i="3"/>
  <c r="K7" i="8"/>
  <c r="X8" i="3"/>
  <c r="G7" i="5"/>
  <c r="T145" i="1"/>
  <c r="AA144" i="1"/>
  <c r="BC142" i="3"/>
  <c r="Q142" i="3" s="1"/>
  <c r="Y144" i="1"/>
  <c r="S145" i="1" l="1"/>
  <c r="BB142" i="3"/>
  <c r="P142" i="3" s="1"/>
  <c r="AV8" i="3"/>
  <c r="G7" i="4" s="1"/>
  <c r="AV11" i="3"/>
  <c r="G10" i="4" s="1"/>
  <c r="AV9" i="3"/>
  <c r="G8" i="4" s="1"/>
  <c r="AV13" i="3"/>
  <c r="G12" i="4" s="1"/>
  <c r="AV15" i="3"/>
  <c r="G14" i="4" s="1"/>
  <c r="AV14" i="3"/>
  <c r="G13" i="4" s="1"/>
  <c r="AV10" i="3"/>
  <c r="G9" i="4" s="1"/>
  <c r="AV7" i="3"/>
  <c r="G6" i="4" s="1"/>
  <c r="AV12" i="3"/>
  <c r="G11" i="4" s="1"/>
  <c r="Y145" i="1"/>
  <c r="BC143" i="3"/>
  <c r="Q143" i="3" s="1"/>
  <c r="AA145" i="1"/>
  <c r="T146" i="1"/>
  <c r="B26" i="5"/>
  <c r="B26" i="8"/>
  <c r="Y27" i="3"/>
  <c r="B34" i="5"/>
  <c r="B34" i="8"/>
  <c r="Y35" i="3"/>
  <c r="B12" i="8"/>
  <c r="B12" i="5"/>
  <c r="Y13" i="3"/>
  <c r="B30" i="8"/>
  <c r="B30" i="5"/>
  <c r="Y31" i="3"/>
  <c r="B32" i="8"/>
  <c r="B32" i="5"/>
  <c r="Y33" i="3"/>
  <c r="B23" i="8"/>
  <c r="B23" i="5"/>
  <c r="Y24" i="3"/>
  <c r="B9" i="5"/>
  <c r="Y10" i="3"/>
  <c r="B9" i="8"/>
  <c r="B7" i="5"/>
  <c r="Y8" i="3"/>
  <c r="B7" i="8"/>
  <c r="J10" i="8"/>
  <c r="F10" i="5"/>
  <c r="J27" i="8"/>
  <c r="F27" i="5"/>
  <c r="F23" i="5"/>
  <c r="J23" i="8"/>
  <c r="J15" i="8"/>
  <c r="F15" i="5"/>
  <c r="F30" i="5"/>
  <c r="J30" i="8"/>
  <c r="J13" i="8"/>
  <c r="F13" i="5"/>
  <c r="J26" i="8"/>
  <c r="F26" i="5"/>
  <c r="F16" i="5"/>
  <c r="J16" i="8"/>
  <c r="J8" i="8"/>
  <c r="F8" i="5"/>
  <c r="F11" i="5"/>
  <c r="J11" i="8"/>
  <c r="F28" i="5"/>
  <c r="J28" i="8"/>
  <c r="J21" i="8"/>
  <c r="F21" i="5"/>
  <c r="J25" i="8"/>
  <c r="F25" i="5"/>
  <c r="F31" i="5"/>
  <c r="J31" i="8"/>
  <c r="F29" i="5"/>
  <c r="J29" i="8"/>
  <c r="F34" i="5"/>
  <c r="J34" i="8"/>
  <c r="B20" i="8"/>
  <c r="B20" i="5"/>
  <c r="Y21" i="3"/>
  <c r="B36" i="8"/>
  <c r="B36" i="5"/>
  <c r="Y37" i="3"/>
  <c r="B14" i="5"/>
  <c r="B14" i="8"/>
  <c r="B33" i="8"/>
  <c r="B33" i="5"/>
  <c r="B18" i="8"/>
  <c r="B18" i="5"/>
  <c r="Y19" i="3"/>
  <c r="B22" i="5"/>
  <c r="B22" i="8"/>
  <c r="Y23" i="3"/>
  <c r="B15" i="5"/>
  <c r="B15" i="8"/>
  <c r="Y16" i="3"/>
  <c r="B10" i="8"/>
  <c r="B10" i="5"/>
  <c r="W7" i="3"/>
  <c r="W8" i="3" s="1"/>
  <c r="W9" i="3" s="1"/>
  <c r="W10" i="3" s="1"/>
  <c r="W11" i="3" s="1"/>
  <c r="B6" i="8"/>
  <c r="B6" i="5"/>
  <c r="F17" i="5"/>
  <c r="J17" i="8"/>
  <c r="BD144" i="3"/>
  <c r="R144" i="3" s="1"/>
  <c r="AB146" i="1"/>
  <c r="U147" i="1"/>
  <c r="Z146" i="1"/>
  <c r="F19" i="5"/>
  <c r="J19" i="8"/>
  <c r="J12" i="8"/>
  <c r="F12" i="5"/>
  <c r="X9" i="3"/>
  <c r="X10" i="3" s="1"/>
  <c r="X11" i="3" s="1"/>
  <c r="X12" i="3" s="1"/>
  <c r="X13" i="3" s="1"/>
  <c r="X14" i="3" s="1"/>
  <c r="X15" i="3" s="1"/>
  <c r="X16" i="3" s="1"/>
  <c r="X17" i="3" s="1"/>
  <c r="X18" i="3" s="1"/>
  <c r="X19" i="3" s="1"/>
  <c r="X20" i="3" s="1"/>
  <c r="X21" i="3" s="1"/>
  <c r="F14" i="5"/>
  <c r="J14" i="8"/>
  <c r="J18" i="8"/>
  <c r="F18" i="5"/>
  <c r="J24" i="8"/>
  <c r="F24" i="5"/>
  <c r="J32" i="8"/>
  <c r="F32" i="5"/>
  <c r="J22" i="8"/>
  <c r="F22" i="5"/>
  <c r="B11" i="5"/>
  <c r="Y12" i="3"/>
  <c r="B11" i="8"/>
  <c r="B19" i="5"/>
  <c r="B19" i="8"/>
  <c r="Y20" i="3"/>
  <c r="B28" i="8"/>
  <c r="B28" i="5"/>
  <c r="Y29" i="3"/>
  <c r="B16" i="5"/>
  <c r="B16" i="8"/>
  <c r="Y17" i="3"/>
  <c r="R148" i="1"/>
  <c r="BA145" i="3"/>
  <c r="O145" i="3" s="1"/>
  <c r="J9" i="8"/>
  <c r="F9" i="5"/>
  <c r="B29" i="8"/>
  <c r="B29" i="5"/>
  <c r="Y30" i="3"/>
  <c r="B13" i="5"/>
  <c r="B13" i="8"/>
  <c r="Y14" i="3"/>
  <c r="B17" i="5"/>
  <c r="B17" i="8"/>
  <c r="Y18" i="3"/>
  <c r="B27" i="8"/>
  <c r="B27" i="5"/>
  <c r="Y28" i="3"/>
  <c r="B35" i="5"/>
  <c r="B35" i="8"/>
  <c r="Y36" i="3"/>
  <c r="B21" i="5"/>
  <c r="B21" i="8"/>
  <c r="Y22" i="3"/>
  <c r="B31" i="8"/>
  <c r="B31" i="5"/>
  <c r="Y32" i="3"/>
  <c r="B24" i="8"/>
  <c r="B24" i="5"/>
  <c r="Y25" i="3"/>
  <c r="B25" i="5"/>
  <c r="B25" i="8"/>
  <c r="Y26" i="3"/>
  <c r="Y9" i="3"/>
  <c r="B8" i="8"/>
  <c r="B8" i="5"/>
  <c r="S146" i="1" l="1"/>
  <c r="BB143" i="3"/>
  <c r="P143" i="3" s="1"/>
  <c r="W12" i="3"/>
  <c r="W13" i="3" s="1"/>
  <c r="W14" i="3" s="1"/>
  <c r="W15" i="3" s="1"/>
  <c r="A25" i="8"/>
  <c r="A25" i="5"/>
  <c r="A24" i="8"/>
  <c r="A24" i="5"/>
  <c r="A31" i="5"/>
  <c r="A31" i="8"/>
  <c r="A21" i="5"/>
  <c r="A21" i="8"/>
  <c r="A17" i="8"/>
  <c r="A17" i="5"/>
  <c r="A13" i="8"/>
  <c r="A13" i="5"/>
  <c r="A29" i="5"/>
  <c r="A29" i="8"/>
  <c r="A16" i="5"/>
  <c r="A16" i="8"/>
  <c r="AB147" i="1"/>
  <c r="Z147" i="1"/>
  <c r="U148" i="1"/>
  <c r="BD145" i="3"/>
  <c r="R145" i="3" s="1"/>
  <c r="A35" i="5"/>
  <c r="A35" i="8"/>
  <c r="A28" i="5"/>
  <c r="A28" i="8"/>
  <c r="A19" i="8"/>
  <c r="A19" i="5"/>
  <c r="A11" i="8"/>
  <c r="A11" i="5"/>
  <c r="A15" i="5"/>
  <c r="A15" i="8"/>
  <c r="A22" i="5"/>
  <c r="A22" i="8"/>
  <c r="A36" i="5"/>
  <c r="A36" i="8"/>
  <c r="A23" i="5"/>
  <c r="A23" i="8"/>
  <c r="A32" i="5"/>
  <c r="A32" i="8"/>
  <c r="A30" i="5"/>
  <c r="A30" i="8"/>
  <c r="A12" i="5"/>
  <c r="A12" i="8"/>
  <c r="A34" i="5"/>
  <c r="A34" i="8"/>
  <c r="A26" i="5"/>
  <c r="A26" i="8"/>
  <c r="AA146" i="1"/>
  <c r="BC144" i="3"/>
  <c r="Q144" i="3" s="1"/>
  <c r="T147" i="1"/>
  <c r="Y146" i="1"/>
  <c r="X22" i="3"/>
  <c r="X23" i="3" s="1"/>
  <c r="X24" i="3" s="1"/>
  <c r="X25" i="3" s="1"/>
  <c r="X26" i="3" s="1"/>
  <c r="X27" i="3" s="1"/>
  <c r="X28" i="3" s="1"/>
  <c r="X29" i="3" s="1"/>
  <c r="X30" i="3" s="1"/>
  <c r="X31" i="3" s="1"/>
  <c r="X32" i="3" s="1"/>
  <c r="X33" i="3" s="1"/>
  <c r="X34" i="3" s="1"/>
  <c r="A18" i="8"/>
  <c r="A18" i="5"/>
  <c r="A20" i="8"/>
  <c r="A20" i="5"/>
  <c r="A7" i="5"/>
  <c r="A7" i="8"/>
  <c r="A27" i="5"/>
  <c r="A27" i="8"/>
  <c r="A8" i="5"/>
  <c r="A8" i="8"/>
  <c r="R149" i="1"/>
  <c r="BA146" i="3"/>
  <c r="O146" i="3" s="1"/>
  <c r="A9" i="8"/>
  <c r="A9" i="5"/>
  <c r="S147" i="1" l="1"/>
  <c r="BB144" i="3"/>
  <c r="P144" i="3" s="1"/>
  <c r="X35" i="3"/>
  <c r="T148" i="1"/>
  <c r="AA147" i="1"/>
  <c r="Y147" i="1"/>
  <c r="BC145" i="3"/>
  <c r="Q145" i="3" s="1"/>
  <c r="R150" i="1"/>
  <c r="BA147" i="3"/>
  <c r="O147" i="3" s="1"/>
  <c r="W16" i="3"/>
  <c r="W17" i="3" s="1"/>
  <c r="W18" i="3" s="1"/>
  <c r="W19" i="3" s="1"/>
  <c r="W20" i="3" s="1"/>
  <c r="W21" i="3" s="1"/>
  <c r="W22" i="3" s="1"/>
  <c r="W23" i="3" s="1"/>
  <c r="W24" i="3" s="1"/>
  <c r="W25" i="3" s="1"/>
  <c r="W26" i="3" s="1"/>
  <c r="W27" i="3" s="1"/>
  <c r="W28" i="3" s="1"/>
  <c r="W29" i="3" s="1"/>
  <c r="W30" i="3" s="1"/>
  <c r="W31" i="3" s="1"/>
  <c r="W32" i="3" s="1"/>
  <c r="W33" i="3" s="1"/>
  <c r="W34" i="3" s="1"/>
  <c r="AB148" i="1"/>
  <c r="U149" i="1"/>
  <c r="Z148" i="1"/>
  <c r="BD146" i="3"/>
  <c r="R146" i="3" s="1"/>
  <c r="S148" i="1" l="1"/>
  <c r="BB145" i="3"/>
  <c r="P145" i="3" s="1"/>
  <c r="R151" i="1"/>
  <c r="BA148" i="3"/>
  <c r="O148" i="3" s="1"/>
  <c r="Y148" i="1"/>
  <c r="BC146" i="3"/>
  <c r="Q146" i="3" s="1"/>
  <c r="AA148" i="1"/>
  <c r="T149" i="1"/>
  <c r="U150" i="1"/>
  <c r="Z149" i="1"/>
  <c r="AB149" i="1"/>
  <c r="BD147" i="3"/>
  <c r="R147" i="3" s="1"/>
  <c r="W35" i="3"/>
  <c r="W36" i="3" s="1"/>
  <c r="W37" i="3" s="1"/>
  <c r="S149" i="1" l="1"/>
  <c r="BB146" i="3"/>
  <c r="P146" i="3" s="1"/>
  <c r="T150" i="1"/>
  <c r="Y149" i="1"/>
  <c r="AA149" i="1"/>
  <c r="BC147" i="3"/>
  <c r="Q147" i="3" s="1"/>
  <c r="BD148" i="3"/>
  <c r="R148" i="3" s="1"/>
  <c r="Z150" i="1"/>
  <c r="U151" i="1"/>
  <c r="AB150" i="1"/>
  <c r="R152" i="1"/>
  <c r="BA149" i="3"/>
  <c r="O149" i="3" s="1"/>
  <c r="BB147" i="3" l="1"/>
  <c r="P147" i="3" s="1"/>
  <c r="S150" i="1"/>
  <c r="Z151" i="1"/>
  <c r="U152" i="1"/>
  <c r="BD149" i="3"/>
  <c r="R149" i="3" s="1"/>
  <c r="AB151" i="1"/>
  <c r="BA150" i="3"/>
  <c r="O150" i="3" s="1"/>
  <c r="R153" i="1"/>
  <c r="Y150" i="1"/>
  <c r="T151" i="1"/>
  <c r="AA150" i="1"/>
  <c r="BC148" i="3"/>
  <c r="Q148" i="3" s="1"/>
  <c r="BB148" i="3" l="1"/>
  <c r="P148" i="3" s="1"/>
  <c r="S151" i="1"/>
  <c r="AA151" i="1"/>
  <c r="T152" i="1"/>
  <c r="Y151" i="1"/>
  <c r="BC149" i="3"/>
  <c r="Q149" i="3" s="1"/>
  <c r="R154" i="1"/>
  <c r="BA151" i="3"/>
  <c r="O151" i="3" s="1"/>
  <c r="BD150" i="3"/>
  <c r="R150" i="3" s="1"/>
  <c r="AB152" i="1"/>
  <c r="U153" i="1"/>
  <c r="Z152" i="1"/>
  <c r="BB149" i="3" l="1"/>
  <c r="P149" i="3" s="1"/>
  <c r="S152" i="1"/>
  <c r="AA152" i="1"/>
  <c r="BC150" i="3"/>
  <c r="Q150" i="3" s="1"/>
  <c r="T153" i="1"/>
  <c r="Y152" i="1"/>
  <c r="U154" i="1"/>
  <c r="AB153" i="1"/>
  <c r="Z153" i="1"/>
  <c r="BD151" i="3"/>
  <c r="R151" i="3" s="1"/>
  <c r="R155" i="1"/>
  <c r="BA152" i="3"/>
  <c r="O152" i="3" s="1"/>
  <c r="S153" i="1" l="1"/>
  <c r="BB150" i="3"/>
  <c r="P150" i="3" s="1"/>
  <c r="R156" i="1"/>
  <c r="BA153" i="3"/>
  <c r="O153" i="3" s="1"/>
  <c r="BD152" i="3"/>
  <c r="R152" i="3" s="1"/>
  <c r="U155" i="1"/>
  <c r="Z154" i="1"/>
  <c r="AB154" i="1"/>
  <c r="T154" i="1"/>
  <c r="BC151" i="3"/>
  <c r="Q151" i="3" s="1"/>
  <c r="Y153" i="1"/>
  <c r="AA153" i="1"/>
  <c r="S154" i="1" l="1"/>
  <c r="BB151" i="3"/>
  <c r="P151" i="3" s="1"/>
  <c r="BD153" i="3"/>
  <c r="R153" i="3" s="1"/>
  <c r="Z155" i="1"/>
  <c r="U156" i="1"/>
  <c r="AB155" i="1"/>
  <c r="Y154" i="1"/>
  <c r="T155" i="1"/>
  <c r="AA154" i="1"/>
  <c r="BC152" i="3"/>
  <c r="Q152" i="3" s="1"/>
  <c r="R157" i="1"/>
  <c r="BA154" i="3"/>
  <c r="O154" i="3" s="1"/>
  <c r="S155" i="1" l="1"/>
  <c r="BB152" i="3"/>
  <c r="P152" i="3" s="1"/>
  <c r="Y155" i="1"/>
  <c r="BC153" i="3"/>
  <c r="Q153" i="3" s="1"/>
  <c r="AA155" i="1"/>
  <c r="T156" i="1"/>
  <c r="R158" i="1"/>
  <c r="BA155" i="3"/>
  <c r="O155" i="3" s="1"/>
  <c r="Z156" i="1"/>
  <c r="AB156" i="1"/>
  <c r="U157" i="1"/>
  <c r="BD154" i="3"/>
  <c r="R154" i="3" s="1"/>
  <c r="BB153" i="3" l="1"/>
  <c r="P153" i="3" s="1"/>
  <c r="S156" i="1"/>
  <c r="BC154" i="3"/>
  <c r="Q154" i="3" s="1"/>
  <c r="Y156" i="1"/>
  <c r="T157" i="1"/>
  <c r="AA156" i="1"/>
  <c r="BD155" i="3"/>
  <c r="R155" i="3" s="1"/>
  <c r="U158" i="1"/>
  <c r="AB157" i="1"/>
  <c r="Z157" i="1"/>
  <c r="BA156" i="3"/>
  <c r="O156" i="3" s="1"/>
  <c r="R159" i="1"/>
  <c r="S157" i="1" l="1"/>
  <c r="BB154" i="3"/>
  <c r="P154" i="3" s="1"/>
  <c r="R160" i="1"/>
  <c r="BA157" i="3"/>
  <c r="O157" i="3" s="1"/>
  <c r="Y157" i="1"/>
  <c r="T158" i="1"/>
  <c r="BC155" i="3"/>
  <c r="Q155" i="3" s="1"/>
  <c r="AA157" i="1"/>
  <c r="BD156" i="3"/>
  <c r="R156" i="3" s="1"/>
  <c r="U159" i="1"/>
  <c r="Z158" i="1"/>
  <c r="AB158" i="1"/>
  <c r="BB155" i="3" l="1"/>
  <c r="P155" i="3" s="1"/>
  <c r="S158" i="1"/>
  <c r="T159" i="1"/>
  <c r="AA158" i="1"/>
  <c r="Y158" i="1"/>
  <c r="BC156" i="3"/>
  <c r="Q156" i="3" s="1"/>
  <c r="Z159" i="1"/>
  <c r="BD157" i="3"/>
  <c r="R157" i="3" s="1"/>
  <c r="AB159" i="1"/>
  <c r="U160" i="1"/>
  <c r="R161" i="1"/>
  <c r="BA158" i="3"/>
  <c r="O158" i="3" s="1"/>
  <c r="BB156" i="3" l="1"/>
  <c r="P156" i="3" s="1"/>
  <c r="S159" i="1"/>
  <c r="BD158" i="3"/>
  <c r="R158" i="3" s="1"/>
  <c r="AB160" i="1"/>
  <c r="U161" i="1"/>
  <c r="Z160" i="1"/>
  <c r="BA159" i="3"/>
  <c r="O159" i="3" s="1"/>
  <c r="R162" i="1"/>
  <c r="T160" i="1"/>
  <c r="AA159" i="1"/>
  <c r="BC157" i="3"/>
  <c r="Q157" i="3" s="1"/>
  <c r="Y159" i="1"/>
  <c r="BB157" i="3" l="1"/>
  <c r="P157" i="3" s="1"/>
  <c r="S160" i="1"/>
  <c r="U162" i="1"/>
  <c r="BD159" i="3"/>
  <c r="R159" i="3" s="1"/>
  <c r="Z161" i="1"/>
  <c r="AB161" i="1"/>
  <c r="BA160" i="3"/>
  <c r="O160" i="3" s="1"/>
  <c r="R163" i="1"/>
  <c r="Y160" i="1"/>
  <c r="AA160" i="1"/>
  <c r="T161" i="1"/>
  <c r="BC158" i="3"/>
  <c r="Q158" i="3" s="1"/>
  <c r="BB158" i="3" l="1"/>
  <c r="P158" i="3" s="1"/>
  <c r="S161" i="1"/>
  <c r="R164" i="1"/>
  <c r="BA161" i="3"/>
  <c r="O161" i="3" s="1"/>
  <c r="AA161" i="1"/>
  <c r="T162" i="1"/>
  <c r="BC159" i="3"/>
  <c r="Q159" i="3" s="1"/>
  <c r="Y161" i="1"/>
  <c r="Z162" i="1"/>
  <c r="U163" i="1"/>
  <c r="AB162" i="1"/>
  <c r="BD160" i="3"/>
  <c r="R160" i="3" s="1"/>
  <c r="BB159" i="3" l="1"/>
  <c r="P159" i="3" s="1"/>
  <c r="S162" i="1"/>
  <c r="AB163" i="1"/>
  <c r="BD161" i="3"/>
  <c r="R161" i="3" s="1"/>
  <c r="Z163" i="1"/>
  <c r="U164" i="1"/>
  <c r="Y162" i="1"/>
  <c r="BC160" i="3"/>
  <c r="Q160" i="3" s="1"/>
  <c r="AA162" i="1"/>
  <c r="T163" i="1"/>
  <c r="R165" i="1"/>
  <c r="BA162" i="3"/>
  <c r="O162" i="3" s="1"/>
  <c r="S163" i="1" l="1"/>
  <c r="BB160" i="3"/>
  <c r="P160" i="3" s="1"/>
  <c r="BA163" i="3"/>
  <c r="O163" i="3" s="1"/>
  <c r="R166" i="1"/>
  <c r="BC161" i="3"/>
  <c r="Q161" i="3" s="1"/>
  <c r="T164" i="1"/>
  <c r="AA163" i="1"/>
  <c r="Y163" i="1"/>
  <c r="BD162" i="3"/>
  <c r="R162" i="3" s="1"/>
  <c r="U165" i="1"/>
  <c r="AB164" i="1"/>
  <c r="Z164" i="1"/>
  <c r="S164" i="1" l="1"/>
  <c r="BB161" i="3"/>
  <c r="P161" i="3" s="1"/>
  <c r="Z165" i="1"/>
  <c r="BD163" i="3"/>
  <c r="R163" i="3" s="1"/>
  <c r="U166" i="1"/>
  <c r="AB165" i="1"/>
  <c r="BC162" i="3"/>
  <c r="Q162" i="3" s="1"/>
  <c r="Y164" i="1"/>
  <c r="T165" i="1"/>
  <c r="AA164" i="1"/>
  <c r="R167" i="1"/>
  <c r="BA164" i="3"/>
  <c r="O164" i="3" s="1"/>
  <c r="BB162" i="3" l="1"/>
  <c r="P162" i="3" s="1"/>
  <c r="S165" i="1"/>
  <c r="R168" i="1"/>
  <c r="BA165" i="3"/>
  <c r="O165" i="3" s="1"/>
  <c r="Y165" i="1"/>
  <c r="AA165" i="1"/>
  <c r="BC163" i="3"/>
  <c r="Q163" i="3" s="1"/>
  <c r="T166" i="1"/>
  <c r="Z166" i="1"/>
  <c r="AB166" i="1"/>
  <c r="U167" i="1"/>
  <c r="BD164" i="3"/>
  <c r="R164" i="3" s="1"/>
  <c r="S166" i="1" l="1"/>
  <c r="BB163" i="3"/>
  <c r="P163" i="3" s="1"/>
  <c r="Y166" i="1"/>
  <c r="T167" i="1"/>
  <c r="BC164" i="3"/>
  <c r="Q164" i="3" s="1"/>
  <c r="AA166" i="1"/>
  <c r="BD165" i="3"/>
  <c r="R165" i="3" s="1"/>
  <c r="AB167" i="1"/>
  <c r="Z167" i="1"/>
  <c r="U168" i="1"/>
  <c r="BA166" i="3"/>
  <c r="O166" i="3" s="1"/>
  <c r="R169" i="1"/>
  <c r="BB164" i="3" l="1"/>
  <c r="P164" i="3" s="1"/>
  <c r="S167" i="1"/>
  <c r="R170" i="1"/>
  <c r="BA167" i="3"/>
  <c r="O167" i="3" s="1"/>
  <c r="Y167" i="1"/>
  <c r="BC165" i="3"/>
  <c r="Q165" i="3" s="1"/>
  <c r="AA167" i="1"/>
  <c r="T168" i="1"/>
  <c r="BD166" i="3"/>
  <c r="R166" i="3" s="1"/>
  <c r="Z168" i="1"/>
  <c r="AB168" i="1"/>
  <c r="U169" i="1"/>
  <c r="BB165" i="3" l="1"/>
  <c r="P165" i="3" s="1"/>
  <c r="S168" i="1"/>
  <c r="Z169" i="1"/>
  <c r="U170" i="1"/>
  <c r="AB169" i="1"/>
  <c r="BD167" i="3"/>
  <c r="R167" i="3" s="1"/>
  <c r="BC166" i="3"/>
  <c r="Q166" i="3" s="1"/>
  <c r="T169" i="1"/>
  <c r="AA168" i="1"/>
  <c r="Y168" i="1"/>
  <c r="BA168" i="3"/>
  <c r="O168" i="3" s="1"/>
  <c r="R171" i="1"/>
  <c r="BB166" i="3" l="1"/>
  <c r="P166" i="3" s="1"/>
  <c r="S169" i="1"/>
  <c r="BD168" i="3"/>
  <c r="R168" i="3" s="1"/>
  <c r="Z170" i="1"/>
  <c r="AB170" i="1"/>
  <c r="U171" i="1"/>
  <c r="R172" i="1"/>
  <c r="BA169" i="3"/>
  <c r="O169" i="3" s="1"/>
  <c r="Y169" i="1"/>
  <c r="T170" i="1"/>
  <c r="AA169" i="1"/>
  <c r="BC167" i="3"/>
  <c r="Q167" i="3" s="1"/>
  <c r="BB167" i="3" l="1"/>
  <c r="P167" i="3" s="1"/>
  <c r="S170" i="1"/>
  <c r="BC168" i="3"/>
  <c r="Q168" i="3" s="1"/>
  <c r="Y170" i="1"/>
  <c r="T171" i="1"/>
  <c r="AA170" i="1"/>
  <c r="U172" i="1"/>
  <c r="AB171" i="1"/>
  <c r="BD169" i="3"/>
  <c r="R169" i="3" s="1"/>
  <c r="Z171" i="1"/>
  <c r="BA170" i="3"/>
  <c r="O170" i="3" s="1"/>
  <c r="R173" i="1"/>
  <c r="BB168" i="3" l="1"/>
  <c r="P168" i="3" s="1"/>
  <c r="S171" i="1"/>
  <c r="R174" i="1"/>
  <c r="BA171" i="3"/>
  <c r="O171" i="3" s="1"/>
  <c r="BC169" i="3"/>
  <c r="Q169" i="3" s="1"/>
  <c r="T172" i="1"/>
  <c r="Y171" i="1"/>
  <c r="AA171" i="1"/>
  <c r="U173" i="1"/>
  <c r="Z172" i="1"/>
  <c r="AB172" i="1"/>
  <c r="BD170" i="3"/>
  <c r="R170" i="3" s="1"/>
  <c r="S172" i="1" l="1"/>
  <c r="BB169" i="3"/>
  <c r="P169" i="3" s="1"/>
  <c r="Y172" i="1"/>
  <c r="AA172" i="1"/>
  <c r="T173" i="1"/>
  <c r="BC170" i="3"/>
  <c r="Q170" i="3" s="1"/>
  <c r="BD171" i="3"/>
  <c r="R171" i="3" s="1"/>
  <c r="AB173" i="1"/>
  <c r="U174" i="1"/>
  <c r="Z173" i="1"/>
  <c r="R175" i="1"/>
  <c r="BA172" i="3"/>
  <c r="O172" i="3" s="1"/>
  <c r="BB170" i="3" l="1"/>
  <c r="P170" i="3" s="1"/>
  <c r="S173" i="1"/>
  <c r="R176" i="1"/>
  <c r="BA173" i="3"/>
  <c r="O173" i="3" s="1"/>
  <c r="BC171" i="3"/>
  <c r="Q171" i="3" s="1"/>
  <c r="Y173" i="1"/>
  <c r="T174" i="1"/>
  <c r="AA173" i="1"/>
  <c r="BD172" i="3"/>
  <c r="R172" i="3" s="1"/>
  <c r="Z174" i="1"/>
  <c r="AB174" i="1"/>
  <c r="U175" i="1"/>
  <c r="S174" i="1" l="1"/>
  <c r="BB171" i="3"/>
  <c r="P171" i="3" s="1"/>
  <c r="U176" i="1"/>
  <c r="BD173" i="3"/>
  <c r="R173" i="3" s="1"/>
  <c r="Z175" i="1"/>
  <c r="AB175" i="1"/>
  <c r="Y174" i="1"/>
  <c r="T175" i="1"/>
  <c r="BC172" i="3"/>
  <c r="Q172" i="3" s="1"/>
  <c r="AA174" i="1"/>
  <c r="R177" i="1"/>
  <c r="BA174" i="3"/>
  <c r="O174" i="3" s="1"/>
  <c r="S175" i="1" l="1"/>
  <c r="BB172" i="3"/>
  <c r="P172" i="3" s="1"/>
  <c r="T176" i="1"/>
  <c r="BC173" i="3"/>
  <c r="Q173" i="3" s="1"/>
  <c r="AA175" i="1"/>
  <c r="Y175" i="1"/>
  <c r="BA175" i="3"/>
  <c r="O175" i="3" s="1"/>
  <c r="R178" i="1"/>
  <c r="AB176" i="1"/>
  <c r="BD174" i="3"/>
  <c r="R174" i="3" s="1"/>
  <c r="U177" i="1"/>
  <c r="Z176" i="1"/>
  <c r="S176" i="1" l="1"/>
  <c r="BB173" i="3"/>
  <c r="P173" i="3" s="1"/>
  <c r="BD175" i="3"/>
  <c r="R175" i="3" s="1"/>
  <c r="AB177" i="1"/>
  <c r="U178" i="1"/>
  <c r="Z177" i="1"/>
  <c r="BA176" i="3"/>
  <c r="O176" i="3" s="1"/>
  <c r="R179" i="1"/>
  <c r="Y176" i="1"/>
  <c r="AA176" i="1"/>
  <c r="T177" i="1"/>
  <c r="BC174" i="3"/>
  <c r="Q174" i="3" s="1"/>
  <c r="BB174" i="3" l="1"/>
  <c r="P174" i="3" s="1"/>
  <c r="S177" i="1"/>
  <c r="R180" i="1"/>
  <c r="BA177" i="3"/>
  <c r="O177" i="3" s="1"/>
  <c r="Y177" i="1"/>
  <c r="AA177" i="1"/>
  <c r="BC175" i="3"/>
  <c r="Q175" i="3" s="1"/>
  <c r="T178" i="1"/>
  <c r="BD176" i="3"/>
  <c r="R176" i="3" s="1"/>
  <c r="Z178" i="1"/>
  <c r="U179" i="1"/>
  <c r="AB178" i="1"/>
  <c r="S178" i="1" l="1"/>
  <c r="BB175" i="3"/>
  <c r="P175" i="3" s="1"/>
  <c r="AB179" i="1"/>
  <c r="BD177" i="3"/>
  <c r="R177" i="3" s="1"/>
  <c r="U180" i="1"/>
  <c r="Z179" i="1"/>
  <c r="Y178" i="1"/>
  <c r="T179" i="1"/>
  <c r="BC176" i="3"/>
  <c r="Q176" i="3" s="1"/>
  <c r="AA178" i="1"/>
  <c r="R181" i="1"/>
  <c r="BA178" i="3"/>
  <c r="O178" i="3" s="1"/>
  <c r="BB176" i="3" l="1"/>
  <c r="P176" i="3" s="1"/>
  <c r="S179" i="1"/>
  <c r="AA179" i="1"/>
  <c r="T180" i="1"/>
  <c r="BC177" i="3"/>
  <c r="Q177" i="3" s="1"/>
  <c r="Y179" i="1"/>
  <c r="R182" i="1"/>
  <c r="BA179" i="3"/>
  <c r="O179" i="3" s="1"/>
  <c r="AB180" i="1"/>
  <c r="Z180" i="1"/>
  <c r="BD178" i="3"/>
  <c r="R178" i="3" s="1"/>
  <c r="U181" i="1"/>
  <c r="S180" i="1" l="1"/>
  <c r="BB177" i="3"/>
  <c r="P177" i="3" s="1"/>
  <c r="U182" i="1"/>
  <c r="Z181" i="1"/>
  <c r="BD179" i="3"/>
  <c r="R179" i="3" s="1"/>
  <c r="AB181" i="1"/>
  <c r="BC178" i="3"/>
  <c r="Q178" i="3" s="1"/>
  <c r="T181" i="1"/>
  <c r="Y180" i="1"/>
  <c r="AA180" i="1"/>
  <c r="R183" i="1"/>
  <c r="BA180" i="3"/>
  <c r="O180" i="3" s="1"/>
  <c r="S181" i="1" l="1"/>
  <c r="BB178" i="3"/>
  <c r="P178" i="3" s="1"/>
  <c r="T182" i="1"/>
  <c r="Y181" i="1"/>
  <c r="AA181" i="1"/>
  <c r="BC179" i="3"/>
  <c r="Q179" i="3" s="1"/>
  <c r="BA181" i="3"/>
  <c r="O181" i="3" s="1"/>
  <c r="R184" i="1"/>
  <c r="U183" i="1"/>
  <c r="AB182" i="1"/>
  <c r="BD180" i="3"/>
  <c r="R180" i="3" s="1"/>
  <c r="Z182" i="1"/>
  <c r="BB179" i="3" l="1"/>
  <c r="P179" i="3" s="1"/>
  <c r="S182" i="1"/>
  <c r="AB183" i="1"/>
  <c r="BD181" i="3"/>
  <c r="R181" i="3" s="1"/>
  <c r="Z183" i="1"/>
  <c r="U184" i="1"/>
  <c r="R185" i="1"/>
  <c r="BA182" i="3"/>
  <c r="O182" i="3" s="1"/>
  <c r="Y182" i="1"/>
  <c r="BC180" i="3"/>
  <c r="Q180" i="3" s="1"/>
  <c r="T183" i="1"/>
  <c r="AA182" i="1"/>
  <c r="S183" i="1" l="1"/>
  <c r="BB180" i="3"/>
  <c r="P180" i="3" s="1"/>
  <c r="R186" i="1"/>
  <c r="BA183" i="3"/>
  <c r="O183" i="3" s="1"/>
  <c r="Z184" i="1"/>
  <c r="BD182" i="3"/>
  <c r="R182" i="3" s="1"/>
  <c r="U185" i="1"/>
  <c r="AB184" i="1"/>
  <c r="AA183" i="1"/>
  <c r="T184" i="1"/>
  <c r="Y183" i="1"/>
  <c r="BC181" i="3"/>
  <c r="Q181" i="3" s="1"/>
  <c r="BB181" i="3" l="1"/>
  <c r="P181" i="3" s="1"/>
  <c r="S184" i="1"/>
  <c r="BC182" i="3"/>
  <c r="Q182" i="3" s="1"/>
  <c r="AA184" i="1"/>
  <c r="T185" i="1"/>
  <c r="Y184" i="1"/>
  <c r="U186" i="1"/>
  <c r="AB185" i="1"/>
  <c r="BD183" i="3"/>
  <c r="R183" i="3" s="1"/>
  <c r="Z185" i="1"/>
  <c r="R187" i="1"/>
  <c r="BA184" i="3"/>
  <c r="O184" i="3" s="1"/>
  <c r="S185" i="1" l="1"/>
  <c r="BB182" i="3"/>
  <c r="P182" i="3" s="1"/>
  <c r="R188" i="1"/>
  <c r="BA185" i="3"/>
  <c r="O185" i="3" s="1"/>
  <c r="AB186" i="1"/>
  <c r="U187" i="1"/>
  <c r="BD184" i="3"/>
  <c r="R184" i="3" s="1"/>
  <c r="Z186" i="1"/>
  <c r="BC183" i="3"/>
  <c r="Q183" i="3" s="1"/>
  <c r="T186" i="1"/>
  <c r="AA185" i="1"/>
  <c r="Y185" i="1"/>
  <c r="BB183" i="3" l="1"/>
  <c r="P183" i="3" s="1"/>
  <c r="S186" i="1"/>
  <c r="AA186" i="1"/>
  <c r="BC184" i="3"/>
  <c r="Q184" i="3" s="1"/>
  <c r="Y186" i="1"/>
  <c r="T187" i="1"/>
  <c r="AB187" i="1"/>
  <c r="BD185" i="3"/>
  <c r="R185" i="3" s="1"/>
  <c r="Z187" i="1"/>
  <c r="U188" i="1"/>
  <c r="R189" i="1"/>
  <c r="BA186" i="3"/>
  <c r="O186" i="3" s="1"/>
  <c r="S187" i="1" l="1"/>
  <c r="BB184" i="3"/>
  <c r="P184" i="3" s="1"/>
  <c r="Z188" i="1"/>
  <c r="BD186" i="3"/>
  <c r="R186" i="3" s="1"/>
  <c r="U189" i="1"/>
  <c r="AB188" i="1"/>
  <c r="AA187" i="1"/>
  <c r="T188" i="1"/>
  <c r="Y187" i="1"/>
  <c r="BC185" i="3"/>
  <c r="Q185" i="3" s="1"/>
  <c r="BA187" i="3"/>
  <c r="O187" i="3" s="1"/>
  <c r="R190" i="1"/>
  <c r="BB185" i="3" l="1"/>
  <c r="P185" i="3" s="1"/>
  <c r="S188" i="1"/>
  <c r="AB189" i="1"/>
  <c r="U190" i="1"/>
  <c r="BD187" i="3"/>
  <c r="R187" i="3" s="1"/>
  <c r="Z189" i="1"/>
  <c r="R191" i="1"/>
  <c r="BA188" i="3"/>
  <c r="O188" i="3" s="1"/>
  <c r="Y188" i="1"/>
  <c r="T189" i="1"/>
  <c r="BC186" i="3"/>
  <c r="Q186" i="3" s="1"/>
  <c r="AA188" i="1"/>
  <c r="S189" i="1" l="1"/>
  <c r="BB186" i="3"/>
  <c r="P186" i="3" s="1"/>
  <c r="U191" i="1"/>
  <c r="Z190" i="1"/>
  <c r="BD188" i="3"/>
  <c r="R188" i="3" s="1"/>
  <c r="AB190" i="1"/>
  <c r="R192" i="1"/>
  <c r="BA189" i="3"/>
  <c r="O189" i="3" s="1"/>
  <c r="BC187" i="3"/>
  <c r="Q187" i="3" s="1"/>
  <c r="Y189" i="1"/>
  <c r="AA189" i="1"/>
  <c r="T190" i="1"/>
  <c r="BB187" i="3" l="1"/>
  <c r="P187" i="3" s="1"/>
  <c r="S190" i="1"/>
  <c r="BC188" i="3"/>
  <c r="Q188" i="3" s="1"/>
  <c r="T191" i="1"/>
  <c r="AA190" i="1"/>
  <c r="Y190" i="1"/>
  <c r="R193" i="1"/>
  <c r="BA190" i="3"/>
  <c r="O190" i="3" s="1"/>
  <c r="BD189" i="3"/>
  <c r="R189" i="3" s="1"/>
  <c r="Z191" i="1"/>
  <c r="U192" i="1"/>
  <c r="AB191" i="1"/>
  <c r="BB188" i="3" l="1"/>
  <c r="P188" i="3" s="1"/>
  <c r="S191" i="1"/>
  <c r="T192" i="1"/>
  <c r="BC189" i="3"/>
  <c r="Q189" i="3" s="1"/>
  <c r="Y191" i="1"/>
  <c r="AA191" i="1"/>
  <c r="BA191" i="3"/>
  <c r="O191" i="3" s="1"/>
  <c r="R194" i="1"/>
  <c r="BD190" i="3"/>
  <c r="R190" i="3" s="1"/>
  <c r="AB192" i="1"/>
  <c r="U193" i="1"/>
  <c r="Z192" i="1"/>
  <c r="BB189" i="3" l="1"/>
  <c r="P189" i="3" s="1"/>
  <c r="S192" i="1"/>
  <c r="BA192" i="3"/>
  <c r="O192" i="3" s="1"/>
  <c r="R195" i="1"/>
  <c r="BD191" i="3"/>
  <c r="R191" i="3" s="1"/>
  <c r="Z193" i="1"/>
  <c r="AB193" i="1"/>
  <c r="U194" i="1"/>
  <c r="AA192" i="1"/>
  <c r="Y192" i="1"/>
  <c r="BC190" i="3"/>
  <c r="Q190" i="3" s="1"/>
  <c r="T193" i="1"/>
  <c r="S193" i="1" l="1"/>
  <c r="BB190" i="3"/>
  <c r="P190" i="3" s="1"/>
  <c r="BC191" i="3"/>
  <c r="Q191" i="3" s="1"/>
  <c r="T194" i="1"/>
  <c r="AA193" i="1"/>
  <c r="Y193" i="1"/>
  <c r="AB194" i="1"/>
  <c r="BD192" i="3"/>
  <c r="R192" i="3" s="1"/>
  <c r="U195" i="1"/>
  <c r="Z194" i="1"/>
  <c r="R196" i="1"/>
  <c r="BA193" i="3"/>
  <c r="O193" i="3" s="1"/>
  <c r="BB191" i="3" l="1"/>
  <c r="P191" i="3" s="1"/>
  <c r="S194" i="1"/>
  <c r="U196" i="1"/>
  <c r="AB195" i="1"/>
  <c r="Z195" i="1"/>
  <c r="BD193" i="3"/>
  <c r="R193" i="3" s="1"/>
  <c r="T195" i="1"/>
  <c r="BC192" i="3"/>
  <c r="Q192" i="3" s="1"/>
  <c r="AA194" i="1"/>
  <c r="Y194" i="1"/>
  <c r="BA194" i="3"/>
  <c r="O194" i="3" s="1"/>
  <c r="R197" i="1"/>
  <c r="S195" i="1" l="1"/>
  <c r="BB192" i="3"/>
  <c r="P192" i="3" s="1"/>
  <c r="BA195" i="3"/>
  <c r="O195" i="3" s="1"/>
  <c r="R198" i="1"/>
  <c r="T196" i="1"/>
  <c r="Y195" i="1"/>
  <c r="AA195" i="1"/>
  <c r="BC193" i="3"/>
  <c r="Q193" i="3" s="1"/>
  <c r="AB196" i="1"/>
  <c r="U197" i="1"/>
  <c r="Z196" i="1"/>
  <c r="BD194" i="3"/>
  <c r="R194" i="3" s="1"/>
  <c r="S196" i="1" l="1"/>
  <c r="BB193" i="3"/>
  <c r="P193" i="3" s="1"/>
  <c r="AA196" i="1"/>
  <c r="BC194" i="3"/>
  <c r="Q194" i="3" s="1"/>
  <c r="T197" i="1"/>
  <c r="Y196" i="1"/>
  <c r="AB197" i="1"/>
  <c r="Z197" i="1"/>
  <c r="BD195" i="3"/>
  <c r="R195" i="3" s="1"/>
  <c r="U198" i="1"/>
  <c r="BA196" i="3"/>
  <c r="O196" i="3" s="1"/>
  <c r="R199" i="1"/>
  <c r="S197" i="1" l="1"/>
  <c r="BB194" i="3"/>
  <c r="P194" i="3" s="1"/>
  <c r="R200" i="1"/>
  <c r="BA197" i="3"/>
  <c r="O197" i="3" s="1"/>
  <c r="BD196" i="3"/>
  <c r="R196" i="3" s="1"/>
  <c r="Z198" i="1"/>
  <c r="AB198" i="1"/>
  <c r="U199" i="1"/>
  <c r="Y197" i="1"/>
  <c r="BC195" i="3"/>
  <c r="Q195" i="3" s="1"/>
  <c r="T198" i="1"/>
  <c r="AA197" i="1"/>
  <c r="S198" i="1" l="1"/>
  <c r="BB195" i="3"/>
  <c r="P195" i="3" s="1"/>
  <c r="BD197" i="3"/>
  <c r="R197" i="3" s="1"/>
  <c r="Z199" i="1"/>
  <c r="AB199" i="1"/>
  <c r="U200" i="1"/>
  <c r="AA198" i="1"/>
  <c r="T199" i="1"/>
  <c r="BC196" i="3"/>
  <c r="Q196" i="3" s="1"/>
  <c r="Y198" i="1"/>
  <c r="R201" i="1"/>
  <c r="BA198" i="3"/>
  <c r="O198" i="3" s="1"/>
  <c r="BB196" i="3" l="1"/>
  <c r="P196" i="3" s="1"/>
  <c r="S199" i="1"/>
  <c r="BC197" i="3"/>
  <c r="Q197" i="3" s="1"/>
  <c r="T200" i="1"/>
  <c r="AA199" i="1"/>
  <c r="Y199" i="1"/>
  <c r="BA199" i="3"/>
  <c r="O199" i="3" s="1"/>
  <c r="R202" i="1"/>
  <c r="Z200" i="1"/>
  <c r="U201" i="1"/>
  <c r="BD198" i="3"/>
  <c r="R198" i="3" s="1"/>
  <c r="AB200" i="1"/>
  <c r="S200" i="1" l="1"/>
  <c r="BB197" i="3"/>
  <c r="P197" i="3" s="1"/>
  <c r="Z201" i="1"/>
  <c r="BD199" i="3"/>
  <c r="R199" i="3" s="1"/>
  <c r="U202" i="1"/>
  <c r="AB201" i="1"/>
  <c r="BC198" i="3"/>
  <c r="Q198" i="3" s="1"/>
  <c r="T201" i="1"/>
  <c r="Y200" i="1"/>
  <c r="AA200" i="1"/>
  <c r="R203" i="1"/>
  <c r="BA200" i="3"/>
  <c r="O200" i="3" s="1"/>
  <c r="S201" i="1" l="1"/>
  <c r="BB198" i="3"/>
  <c r="P198" i="3" s="1"/>
  <c r="T202" i="1"/>
  <c r="AA201" i="1"/>
  <c r="BC199" i="3"/>
  <c r="Q199" i="3" s="1"/>
  <c r="Y201" i="1"/>
  <c r="R204" i="1"/>
  <c r="BA201" i="3"/>
  <c r="O201" i="3" s="1"/>
  <c r="AB202" i="1"/>
  <c r="BD200" i="3"/>
  <c r="R200" i="3" s="1"/>
  <c r="Z202" i="1"/>
  <c r="U203" i="1"/>
  <c r="S202" i="1" l="1"/>
  <c r="BB199" i="3"/>
  <c r="P199" i="3" s="1"/>
  <c r="Z203" i="1"/>
  <c r="AB203" i="1"/>
  <c r="BD201" i="3"/>
  <c r="R201" i="3" s="1"/>
  <c r="U204" i="1"/>
  <c r="R205" i="1"/>
  <c r="BA202" i="3"/>
  <c r="O202" i="3" s="1"/>
  <c r="Y202" i="1"/>
  <c r="T203" i="1"/>
  <c r="BC200" i="3"/>
  <c r="Q200" i="3" s="1"/>
  <c r="AA202" i="1"/>
  <c r="BB200" i="3" l="1"/>
  <c r="P200" i="3" s="1"/>
  <c r="S203" i="1"/>
  <c r="AB204" i="1"/>
  <c r="Z204" i="1"/>
  <c r="U205" i="1"/>
  <c r="BD202" i="3"/>
  <c r="R202" i="3" s="1"/>
  <c r="BA203" i="3"/>
  <c r="O203" i="3" s="1"/>
  <c r="R206" i="1"/>
  <c r="AA203" i="1"/>
  <c r="T204" i="1"/>
  <c r="BC201" i="3"/>
  <c r="Q201" i="3" s="1"/>
  <c r="Y203" i="1"/>
  <c r="S204" i="1" l="1"/>
  <c r="BB201" i="3"/>
  <c r="P201" i="3" s="1"/>
  <c r="AA204" i="1"/>
  <c r="Y204" i="1"/>
  <c r="BC202" i="3"/>
  <c r="Q202" i="3" s="1"/>
  <c r="T205" i="1"/>
  <c r="Z205" i="1"/>
  <c r="BD203" i="3"/>
  <c r="R203" i="3" s="1"/>
  <c r="U206" i="1"/>
  <c r="AB205" i="1"/>
  <c r="BA204" i="3"/>
  <c r="O204" i="3" s="1"/>
  <c r="R207" i="1"/>
  <c r="BB202" i="3" l="1"/>
  <c r="P202" i="3" s="1"/>
  <c r="S205" i="1"/>
  <c r="R208" i="1"/>
  <c r="BA205" i="3"/>
  <c r="O205" i="3" s="1"/>
  <c r="AA205" i="1"/>
  <c r="T206" i="1"/>
  <c r="BC203" i="3"/>
  <c r="Q203" i="3" s="1"/>
  <c r="Y205" i="1"/>
  <c r="U207" i="1"/>
  <c r="AB206" i="1"/>
  <c r="Z206" i="1"/>
  <c r="BD204" i="3"/>
  <c r="R204" i="3" s="1"/>
  <c r="S206" i="1" l="1"/>
  <c r="BB203" i="3"/>
  <c r="P203" i="3" s="1"/>
  <c r="Y206" i="1"/>
  <c r="T207" i="1"/>
  <c r="BC204" i="3"/>
  <c r="Q204" i="3" s="1"/>
  <c r="AA206" i="1"/>
  <c r="BD205" i="3"/>
  <c r="R205" i="3" s="1"/>
  <c r="Z207" i="1"/>
  <c r="U208" i="1"/>
  <c r="AB207" i="1"/>
  <c r="BA206" i="3"/>
  <c r="O206" i="3" s="1"/>
  <c r="R209" i="1"/>
  <c r="BB204" i="3" l="1"/>
  <c r="P204" i="3" s="1"/>
  <c r="S207" i="1"/>
  <c r="R210" i="1"/>
  <c r="BA207" i="3"/>
  <c r="O207" i="3" s="1"/>
  <c r="T208" i="1"/>
  <c r="BC205" i="3"/>
  <c r="Q205" i="3" s="1"/>
  <c r="AA207" i="1"/>
  <c r="Y207" i="1"/>
  <c r="BD206" i="3"/>
  <c r="R206" i="3" s="1"/>
  <c r="AB208" i="1"/>
  <c r="U209" i="1"/>
  <c r="Z208" i="1"/>
  <c r="BB205" i="3" l="1"/>
  <c r="P205" i="3" s="1"/>
  <c r="S208" i="1"/>
  <c r="U210" i="1"/>
  <c r="AB209" i="1"/>
  <c r="BD207" i="3"/>
  <c r="R207" i="3" s="1"/>
  <c r="Z209" i="1"/>
  <c r="AA208" i="1"/>
  <c r="Y208" i="1"/>
  <c r="BC206" i="3"/>
  <c r="Q206" i="3" s="1"/>
  <c r="T209" i="1"/>
  <c r="R211" i="1"/>
  <c r="BA208" i="3"/>
  <c r="O208" i="3" s="1"/>
  <c r="S209" i="1" l="1"/>
  <c r="BB206" i="3"/>
  <c r="P206" i="3" s="1"/>
  <c r="R212" i="1"/>
  <c r="BA209" i="3"/>
  <c r="O209" i="3" s="1"/>
  <c r="AB210" i="1"/>
  <c r="Z210" i="1"/>
  <c r="U211" i="1"/>
  <c r="BD208" i="3"/>
  <c r="R208" i="3" s="1"/>
  <c r="T210" i="1"/>
  <c r="Y209" i="1"/>
  <c r="BC207" i="3"/>
  <c r="Q207" i="3" s="1"/>
  <c r="AA209" i="1"/>
  <c r="S210" i="1" l="1"/>
  <c r="BB207" i="3"/>
  <c r="P207" i="3" s="1"/>
  <c r="T211" i="1"/>
  <c r="Y210" i="1"/>
  <c r="AA210" i="1"/>
  <c r="BC208" i="3"/>
  <c r="Q208" i="3" s="1"/>
  <c r="BD209" i="3"/>
  <c r="R209" i="3" s="1"/>
  <c r="AB211" i="1"/>
  <c r="U212" i="1"/>
  <c r="Z211" i="1"/>
  <c r="R213" i="1"/>
  <c r="BA210" i="3"/>
  <c r="O210" i="3" s="1"/>
  <c r="S211" i="1" l="1"/>
  <c r="BB208" i="3"/>
  <c r="P208" i="3" s="1"/>
  <c r="AB212" i="1"/>
  <c r="Z212" i="1"/>
  <c r="U213" i="1"/>
  <c r="BD210" i="3"/>
  <c r="R210" i="3" s="1"/>
  <c r="AA211" i="1"/>
  <c r="BC209" i="3"/>
  <c r="Q209" i="3" s="1"/>
  <c r="T212" i="1"/>
  <c r="Y211" i="1"/>
  <c r="R214" i="1"/>
  <c r="BA211" i="3"/>
  <c r="O211" i="3" s="1"/>
  <c r="S212" i="1" l="1"/>
  <c r="BB209" i="3"/>
  <c r="P209" i="3" s="1"/>
  <c r="BC210" i="3"/>
  <c r="Q210" i="3" s="1"/>
  <c r="AA212" i="1"/>
  <c r="Y212" i="1"/>
  <c r="T213" i="1"/>
  <c r="BD211" i="3"/>
  <c r="R211" i="3" s="1"/>
  <c r="U214" i="1"/>
  <c r="Z213" i="1"/>
  <c r="AB213" i="1"/>
  <c r="R215" i="1"/>
  <c r="BA212" i="3"/>
  <c r="O212" i="3" s="1"/>
  <c r="S213" i="1" l="1"/>
  <c r="BB210" i="3"/>
  <c r="P210" i="3" s="1"/>
  <c r="BC211" i="3"/>
  <c r="Q211" i="3" s="1"/>
  <c r="AA213" i="1"/>
  <c r="Y213" i="1"/>
  <c r="T214" i="1"/>
  <c r="Z214" i="1"/>
  <c r="U215" i="1"/>
  <c r="BD212" i="3"/>
  <c r="R212" i="3" s="1"/>
  <c r="AB214" i="1"/>
  <c r="BA213" i="3"/>
  <c r="O213" i="3" s="1"/>
  <c r="R216" i="1"/>
  <c r="BB211" i="3" l="1"/>
  <c r="P211" i="3" s="1"/>
  <c r="S214" i="1"/>
  <c r="BA214" i="3"/>
  <c r="O214" i="3" s="1"/>
  <c r="R217" i="1"/>
  <c r="Z215" i="1"/>
  <c r="BD213" i="3"/>
  <c r="R213" i="3" s="1"/>
  <c r="U216" i="1"/>
  <c r="AB215" i="1"/>
  <c r="Y214" i="1"/>
  <c r="BC212" i="3"/>
  <c r="Q212" i="3" s="1"/>
  <c r="T215" i="1"/>
  <c r="AA214" i="1"/>
  <c r="BB212" i="3" l="1"/>
  <c r="P212" i="3" s="1"/>
  <c r="S215" i="1"/>
  <c r="AA215" i="1"/>
  <c r="BC213" i="3"/>
  <c r="Q213" i="3" s="1"/>
  <c r="T216" i="1"/>
  <c r="Y215" i="1"/>
  <c r="BA215" i="3"/>
  <c r="O215" i="3" s="1"/>
  <c r="R218" i="1"/>
  <c r="AB216" i="1"/>
  <c r="BD214" i="3"/>
  <c r="R214" i="3" s="1"/>
  <c r="Z216" i="1"/>
  <c r="U217" i="1"/>
  <c r="BB213" i="3" l="1"/>
  <c r="P213" i="3" s="1"/>
  <c r="S216" i="1"/>
  <c r="BD215" i="3"/>
  <c r="R215" i="3" s="1"/>
  <c r="AB217" i="1"/>
  <c r="U218" i="1"/>
  <c r="Z217" i="1"/>
  <c r="R219" i="1"/>
  <c r="BA216" i="3"/>
  <c r="O216" i="3" s="1"/>
  <c r="AA216" i="1"/>
  <c r="T217" i="1"/>
  <c r="BC214" i="3"/>
  <c r="Q214" i="3" s="1"/>
  <c r="Y216" i="1"/>
  <c r="S217" i="1" l="1"/>
  <c r="BB214" i="3"/>
  <c r="P214" i="3" s="1"/>
  <c r="AA217" i="1"/>
  <c r="T218" i="1"/>
  <c r="BC215" i="3"/>
  <c r="Q215" i="3" s="1"/>
  <c r="Y217" i="1"/>
  <c r="BD216" i="3"/>
  <c r="R216" i="3" s="1"/>
  <c r="Z218" i="1"/>
  <c r="AB218" i="1"/>
  <c r="U219" i="1"/>
  <c r="R220" i="1"/>
  <c r="BA217" i="3"/>
  <c r="O217" i="3" s="1"/>
  <c r="BB215" i="3" l="1"/>
  <c r="P215" i="3" s="1"/>
  <c r="S218" i="1"/>
  <c r="AB219" i="1"/>
  <c r="BD217" i="3"/>
  <c r="R217" i="3" s="1"/>
  <c r="U220" i="1"/>
  <c r="Z219" i="1"/>
  <c r="R221" i="1"/>
  <c r="BA218" i="3"/>
  <c r="O218" i="3" s="1"/>
  <c r="T219" i="1"/>
  <c r="BC216" i="3"/>
  <c r="Q216" i="3" s="1"/>
  <c r="AA218" i="1"/>
  <c r="Y218" i="1"/>
  <c r="BB216" i="3" l="1"/>
  <c r="P216" i="3" s="1"/>
  <c r="S219" i="1"/>
  <c r="AA219" i="1"/>
  <c r="Y219" i="1"/>
  <c r="BC217" i="3"/>
  <c r="Q217" i="3" s="1"/>
  <c r="T220" i="1"/>
  <c r="BD218" i="3"/>
  <c r="R218" i="3" s="1"/>
  <c r="AB220" i="1"/>
  <c r="U221" i="1"/>
  <c r="Z220" i="1"/>
  <c r="R222" i="1"/>
  <c r="BA219" i="3"/>
  <c r="O219" i="3" s="1"/>
  <c r="BB217" i="3" l="1"/>
  <c r="P217" i="3" s="1"/>
  <c r="S220" i="1"/>
  <c r="AA220" i="1"/>
  <c r="Y220" i="1"/>
  <c r="T221" i="1"/>
  <c r="BC218" i="3"/>
  <c r="Q218" i="3" s="1"/>
  <c r="R223" i="1"/>
  <c r="BA220" i="3"/>
  <c r="O220" i="3" s="1"/>
  <c r="AB221" i="1"/>
  <c r="U222" i="1"/>
  <c r="Z221" i="1"/>
  <c r="BD219" i="3"/>
  <c r="R219" i="3" s="1"/>
  <c r="BB218" i="3" l="1"/>
  <c r="P218" i="3" s="1"/>
  <c r="S221" i="1"/>
  <c r="T222" i="1"/>
  <c r="AA221" i="1"/>
  <c r="BC219" i="3"/>
  <c r="Q219" i="3" s="1"/>
  <c r="Y221" i="1"/>
  <c r="U223" i="1"/>
  <c r="BD220" i="3"/>
  <c r="R220" i="3" s="1"/>
  <c r="Z222" i="1"/>
  <c r="AB222" i="1"/>
  <c r="BA221" i="3"/>
  <c r="O221" i="3" s="1"/>
  <c r="R224" i="1"/>
  <c r="S222" i="1" l="1"/>
  <c r="BB219" i="3"/>
  <c r="P219" i="3" s="1"/>
  <c r="AB223" i="1"/>
  <c r="U224" i="1"/>
  <c r="BD221" i="3"/>
  <c r="R221" i="3" s="1"/>
  <c r="Z223" i="1"/>
  <c r="Y222" i="1"/>
  <c r="BC220" i="3"/>
  <c r="Q220" i="3" s="1"/>
  <c r="T223" i="1"/>
  <c r="AA222" i="1"/>
  <c r="BA222" i="3"/>
  <c r="O222" i="3" s="1"/>
  <c r="R225" i="1"/>
  <c r="S223" i="1" l="1"/>
  <c r="BB220" i="3"/>
  <c r="P220" i="3" s="1"/>
  <c r="BA223" i="3"/>
  <c r="O223" i="3" s="1"/>
  <c r="R226" i="1"/>
  <c r="AA223" i="1"/>
  <c r="Y223" i="1"/>
  <c r="BC221" i="3"/>
  <c r="Q221" i="3" s="1"/>
  <c r="T224" i="1"/>
  <c r="BD222" i="3"/>
  <c r="R222" i="3" s="1"/>
  <c r="Z224" i="1"/>
  <c r="U225" i="1"/>
  <c r="AB224" i="1"/>
  <c r="S224" i="1" l="1"/>
  <c r="BB221" i="3"/>
  <c r="P221" i="3" s="1"/>
  <c r="Y224" i="1"/>
  <c r="AA224" i="1"/>
  <c r="BC222" i="3"/>
  <c r="Q222" i="3" s="1"/>
  <c r="T225" i="1"/>
  <c r="R227" i="1"/>
  <c r="BA224" i="3"/>
  <c r="O224" i="3" s="1"/>
  <c r="BD223" i="3"/>
  <c r="R223" i="3" s="1"/>
  <c r="AB225" i="1"/>
  <c r="U226" i="1"/>
  <c r="Z225" i="1"/>
  <c r="BB222" i="3" l="1"/>
  <c r="P222" i="3" s="1"/>
  <c r="S225" i="1"/>
  <c r="Y225" i="1"/>
  <c r="T226" i="1"/>
  <c r="BC223" i="3"/>
  <c r="Q223" i="3" s="1"/>
  <c r="AA225" i="1"/>
  <c r="AB226" i="1"/>
  <c r="U227" i="1"/>
  <c r="BD224" i="3"/>
  <c r="R224" i="3" s="1"/>
  <c r="Z226" i="1"/>
  <c r="R228" i="1"/>
  <c r="BA225" i="3"/>
  <c r="O225" i="3" s="1"/>
  <c r="BB223" i="3" l="1"/>
  <c r="P223" i="3" s="1"/>
  <c r="S226" i="1"/>
  <c r="U228" i="1"/>
  <c r="BD225" i="3"/>
  <c r="R225" i="3" s="1"/>
  <c r="Z227" i="1"/>
  <c r="AB227" i="1"/>
  <c r="R229" i="1"/>
  <c r="BA226" i="3"/>
  <c r="O226" i="3" s="1"/>
  <c r="Y226" i="1"/>
  <c r="BC224" i="3"/>
  <c r="Q224" i="3" s="1"/>
  <c r="T227" i="1"/>
  <c r="AA226" i="1"/>
  <c r="S227" i="1" l="1"/>
  <c r="BB224" i="3"/>
  <c r="P224" i="3" s="1"/>
  <c r="T228" i="1"/>
  <c r="Y227" i="1"/>
  <c r="BC225" i="3"/>
  <c r="Q225" i="3" s="1"/>
  <c r="AA227" i="1"/>
  <c r="R230" i="1"/>
  <c r="BA227" i="3"/>
  <c r="O227" i="3" s="1"/>
  <c r="Z228" i="1"/>
  <c r="U229" i="1"/>
  <c r="AB228" i="1"/>
  <c r="BD226" i="3"/>
  <c r="R226" i="3" s="1"/>
  <c r="BB225" i="3" l="1"/>
  <c r="P225" i="3" s="1"/>
  <c r="S228" i="1"/>
  <c r="R231" i="1"/>
  <c r="BA228" i="3"/>
  <c r="O228" i="3" s="1"/>
  <c r="AA228" i="1"/>
  <c r="BC226" i="3"/>
  <c r="Q226" i="3" s="1"/>
  <c r="Y228" i="1"/>
  <c r="T229" i="1"/>
  <c r="Z229" i="1"/>
  <c r="BD227" i="3"/>
  <c r="R227" i="3" s="1"/>
  <c r="U230" i="1"/>
  <c r="AB229" i="1"/>
  <c r="S229" i="1" l="1"/>
  <c r="BB226" i="3"/>
  <c r="P226" i="3" s="1"/>
  <c r="T230" i="1"/>
  <c r="BC227" i="3"/>
  <c r="Q227" i="3" s="1"/>
  <c r="Y229" i="1"/>
  <c r="AA229" i="1"/>
  <c r="AB230" i="1"/>
  <c r="Z230" i="1"/>
  <c r="BD228" i="3"/>
  <c r="R228" i="3" s="1"/>
  <c r="U231" i="1"/>
  <c r="BA229" i="3"/>
  <c r="O229" i="3" s="1"/>
  <c r="R232" i="1"/>
  <c r="BB227" i="3" l="1"/>
  <c r="P227" i="3" s="1"/>
  <c r="S230" i="1"/>
  <c r="R233" i="1"/>
  <c r="BA230" i="3"/>
  <c r="O230" i="3" s="1"/>
  <c r="T231" i="1"/>
  <c r="AA230" i="1"/>
  <c r="BC228" i="3"/>
  <c r="Q228" i="3" s="1"/>
  <c r="Y230" i="1"/>
  <c r="BD229" i="3"/>
  <c r="R229" i="3" s="1"/>
  <c r="Z231" i="1"/>
  <c r="U232" i="1"/>
  <c r="AB231" i="1"/>
  <c r="BB228" i="3" l="1"/>
  <c r="P228" i="3" s="1"/>
  <c r="S231" i="1"/>
  <c r="Y231" i="1"/>
  <c r="BC229" i="3"/>
  <c r="Q229" i="3" s="1"/>
  <c r="AA231" i="1"/>
  <c r="T232" i="1"/>
  <c r="U233" i="1"/>
  <c r="BD230" i="3"/>
  <c r="R230" i="3" s="1"/>
  <c r="AB232" i="1"/>
  <c r="Z232" i="1"/>
  <c r="R234" i="1"/>
  <c r="BA231" i="3"/>
  <c r="O231" i="3" s="1"/>
  <c r="BB229" i="3" l="1"/>
  <c r="P229" i="3" s="1"/>
  <c r="S232" i="1"/>
  <c r="BA232" i="3"/>
  <c r="O232" i="3" s="1"/>
  <c r="R235" i="1"/>
  <c r="AB233" i="1"/>
  <c r="Z233" i="1"/>
  <c r="U234" i="1"/>
  <c r="BD231" i="3"/>
  <c r="R231" i="3" s="1"/>
  <c r="BC230" i="3"/>
  <c r="Q230" i="3" s="1"/>
  <c r="T233" i="1"/>
  <c r="Y232" i="1"/>
  <c r="AA232" i="1"/>
  <c r="S233" i="1" l="1"/>
  <c r="BB230" i="3"/>
  <c r="P230" i="3" s="1"/>
  <c r="BC231" i="3"/>
  <c r="Q231" i="3" s="1"/>
  <c r="T234" i="1"/>
  <c r="AA233" i="1"/>
  <c r="Y233" i="1"/>
  <c r="R236" i="1"/>
  <c r="BA233" i="3"/>
  <c r="O233" i="3" s="1"/>
  <c r="Z234" i="1"/>
  <c r="U235" i="1"/>
  <c r="BD232" i="3"/>
  <c r="R232" i="3" s="1"/>
  <c r="AB234" i="1"/>
  <c r="S234" i="1" l="1"/>
  <c r="BB231" i="3"/>
  <c r="P231" i="3" s="1"/>
  <c r="R237" i="1"/>
  <c r="BA234" i="3"/>
  <c r="O234" i="3" s="1"/>
  <c r="BD233" i="3"/>
  <c r="R233" i="3" s="1"/>
  <c r="AB235" i="1"/>
  <c r="U236" i="1"/>
  <c r="Z235" i="1"/>
  <c r="BC232" i="3"/>
  <c r="Q232" i="3" s="1"/>
  <c r="Y234" i="1"/>
  <c r="AA234" i="1"/>
  <c r="T235" i="1"/>
  <c r="BB232" i="3" l="1"/>
  <c r="P232" i="3" s="1"/>
  <c r="S235" i="1"/>
  <c r="Y235" i="1"/>
  <c r="T236" i="1"/>
  <c r="BC233" i="3"/>
  <c r="Q233" i="3" s="1"/>
  <c r="AA235" i="1"/>
  <c r="BD234" i="3"/>
  <c r="R234" i="3" s="1"/>
  <c r="Z236" i="1"/>
  <c r="AB236" i="1"/>
  <c r="U237" i="1"/>
  <c r="R238" i="1"/>
  <c r="BA235" i="3"/>
  <c r="O235" i="3" s="1"/>
  <c r="S236" i="1" l="1"/>
  <c r="BB233" i="3"/>
  <c r="P233" i="3" s="1"/>
  <c r="AB237" i="1"/>
  <c r="BD235" i="3"/>
  <c r="R235" i="3" s="1"/>
  <c r="U238" i="1"/>
  <c r="Z237" i="1"/>
  <c r="Y236" i="1"/>
  <c r="AA236" i="1"/>
  <c r="T237" i="1"/>
  <c r="BC234" i="3"/>
  <c r="Q234" i="3" s="1"/>
  <c r="R239" i="1"/>
  <c r="BA236" i="3"/>
  <c r="O236" i="3" s="1"/>
  <c r="S237" i="1" l="1"/>
  <c r="BB234" i="3"/>
  <c r="P234" i="3" s="1"/>
  <c r="BD236" i="3"/>
  <c r="R236" i="3" s="1"/>
  <c r="U239" i="1"/>
  <c r="Z238" i="1"/>
  <c r="AB238" i="1"/>
  <c r="AA237" i="1"/>
  <c r="T238" i="1"/>
  <c r="Y237" i="1"/>
  <c r="BC235" i="3"/>
  <c r="Q235" i="3" s="1"/>
  <c r="R240" i="1"/>
  <c r="BA237" i="3"/>
  <c r="O237" i="3" s="1"/>
  <c r="BB235" i="3" l="1"/>
  <c r="P235" i="3" s="1"/>
  <c r="S238" i="1"/>
  <c r="T239" i="1"/>
  <c r="BC236" i="3"/>
  <c r="Q236" i="3" s="1"/>
  <c r="Y238" i="1"/>
  <c r="AA238" i="1"/>
  <c r="U240" i="1"/>
  <c r="AB239" i="1"/>
  <c r="BD237" i="3"/>
  <c r="R237" i="3" s="1"/>
  <c r="Z239" i="1"/>
  <c r="BA238" i="3"/>
  <c r="O238" i="3" s="1"/>
  <c r="R241" i="1"/>
  <c r="BB236" i="3" l="1"/>
  <c r="P236" i="3" s="1"/>
  <c r="S239" i="1"/>
  <c r="R242" i="1"/>
  <c r="BA239" i="3"/>
  <c r="O239" i="3" s="1"/>
  <c r="Z240" i="1"/>
  <c r="BD238" i="3"/>
  <c r="R238" i="3" s="1"/>
  <c r="U241" i="1"/>
  <c r="AB240" i="1"/>
  <c r="T240" i="1"/>
  <c r="BC237" i="3"/>
  <c r="Q237" i="3" s="1"/>
  <c r="Y239" i="1"/>
  <c r="AA239" i="1"/>
  <c r="S240" i="1" l="1"/>
  <c r="BB237" i="3"/>
  <c r="P237" i="3" s="1"/>
  <c r="AB241" i="1"/>
  <c r="BD239" i="3"/>
  <c r="R239" i="3" s="1"/>
  <c r="Z241" i="1"/>
  <c r="U242" i="1"/>
  <c r="R243" i="1"/>
  <c r="BA240" i="3"/>
  <c r="O240" i="3" s="1"/>
  <c r="AA240" i="1"/>
  <c r="Y240" i="1"/>
  <c r="T241" i="1"/>
  <c r="BC238" i="3"/>
  <c r="Q238" i="3" s="1"/>
  <c r="BB238" i="3" l="1"/>
  <c r="P238" i="3" s="1"/>
  <c r="S241" i="1"/>
  <c r="BD240" i="3"/>
  <c r="R240" i="3" s="1"/>
  <c r="AB242" i="1"/>
  <c r="U243" i="1"/>
  <c r="Z242" i="1"/>
  <c r="T242" i="1"/>
  <c r="Y241" i="1"/>
  <c r="BC239" i="3"/>
  <c r="Q239" i="3" s="1"/>
  <c r="AA241" i="1"/>
  <c r="BA241" i="3"/>
  <c r="O241" i="3" s="1"/>
  <c r="R244" i="1"/>
  <c r="S242" i="1" l="1"/>
  <c r="BB239" i="3"/>
  <c r="P239" i="3" s="1"/>
  <c r="BC240" i="3"/>
  <c r="Q240" i="3" s="1"/>
  <c r="T243" i="1"/>
  <c r="Y242" i="1"/>
  <c r="AA242" i="1"/>
  <c r="U244" i="1"/>
  <c r="AB243" i="1"/>
  <c r="Z243" i="1"/>
  <c r="BD241" i="3"/>
  <c r="R241" i="3" s="1"/>
  <c r="R245" i="1"/>
  <c r="BA242" i="3"/>
  <c r="O242" i="3" s="1"/>
  <c r="S243" i="1" l="1"/>
  <c r="BB240" i="3"/>
  <c r="P240" i="3" s="1"/>
  <c r="R246" i="1"/>
  <c r="BA243" i="3"/>
  <c r="O243" i="3" s="1"/>
  <c r="Y243" i="1"/>
  <c r="AA243" i="1"/>
  <c r="T244" i="1"/>
  <c r="BC241" i="3"/>
  <c r="Q241" i="3" s="1"/>
  <c r="Z244" i="1"/>
  <c r="BD242" i="3"/>
  <c r="R242" i="3" s="1"/>
  <c r="AB244" i="1"/>
  <c r="U245" i="1"/>
  <c r="BB241" i="3" l="1"/>
  <c r="P241" i="3" s="1"/>
  <c r="S244" i="1"/>
  <c r="AA244" i="1"/>
  <c r="Y244" i="1"/>
  <c r="BC242" i="3"/>
  <c r="Q242" i="3" s="1"/>
  <c r="T245" i="1"/>
  <c r="BD243" i="3"/>
  <c r="R243" i="3" s="1"/>
  <c r="Z245" i="1"/>
  <c r="U246" i="1"/>
  <c r="AB245" i="1"/>
  <c r="R247" i="1"/>
  <c r="BA244" i="3"/>
  <c r="O244" i="3" s="1"/>
  <c r="S245" i="1" l="1"/>
  <c r="BB242" i="3"/>
  <c r="P242" i="3" s="1"/>
  <c r="R248" i="1"/>
  <c r="BA245" i="3"/>
  <c r="O245" i="3" s="1"/>
  <c r="Y245" i="1"/>
  <c r="AA245" i="1"/>
  <c r="T246" i="1"/>
  <c r="BC243" i="3"/>
  <c r="Q243" i="3" s="1"/>
  <c r="BD244" i="3"/>
  <c r="R244" i="3" s="1"/>
  <c r="U247" i="1"/>
  <c r="AB246" i="1"/>
  <c r="Z246" i="1"/>
  <c r="S246" i="1" l="1"/>
  <c r="BB243" i="3"/>
  <c r="P243" i="3" s="1"/>
  <c r="U248" i="1"/>
  <c r="AB247" i="1"/>
  <c r="Z247" i="1"/>
  <c r="BD245" i="3"/>
  <c r="R245" i="3" s="1"/>
  <c r="Y246" i="1"/>
  <c r="BC244" i="3"/>
  <c r="Q244" i="3" s="1"/>
  <c r="T247" i="1"/>
  <c r="AA246" i="1"/>
  <c r="R249" i="1"/>
  <c r="BA246" i="3"/>
  <c r="O246" i="3" s="1"/>
  <c r="BB244" i="3" l="1"/>
  <c r="P244" i="3" s="1"/>
  <c r="S247" i="1"/>
  <c r="AA247" i="1"/>
  <c r="T248" i="1"/>
  <c r="Y247" i="1"/>
  <c r="BC245" i="3"/>
  <c r="Q245" i="3" s="1"/>
  <c r="R250" i="1"/>
  <c r="BA247" i="3"/>
  <c r="O247" i="3" s="1"/>
  <c r="BD246" i="3"/>
  <c r="R246" i="3" s="1"/>
  <c r="Z248" i="1"/>
  <c r="AB248" i="1"/>
  <c r="U249" i="1"/>
  <c r="S248" i="1" l="1"/>
  <c r="BB245" i="3"/>
  <c r="P245" i="3" s="1"/>
  <c r="R251" i="1"/>
  <c r="BA248" i="3"/>
  <c r="O248" i="3" s="1"/>
  <c r="U250" i="1"/>
  <c r="Z249" i="1"/>
  <c r="BD247" i="3"/>
  <c r="R247" i="3" s="1"/>
  <c r="AB249" i="1"/>
  <c r="AA248" i="1"/>
  <c r="Y248" i="1"/>
  <c r="T249" i="1"/>
  <c r="BC246" i="3"/>
  <c r="Q246" i="3" s="1"/>
  <c r="S249" i="1" l="1"/>
  <c r="BB246" i="3"/>
  <c r="P246" i="3" s="1"/>
  <c r="BC247" i="3"/>
  <c r="Q247" i="3" s="1"/>
  <c r="Y249" i="1"/>
  <c r="AA249" i="1"/>
  <c r="T250" i="1"/>
  <c r="U251" i="1"/>
  <c r="BD248" i="3"/>
  <c r="R248" i="3" s="1"/>
  <c r="Z250" i="1"/>
  <c r="AB250" i="1"/>
  <c r="R252" i="1"/>
  <c r="BA249" i="3"/>
  <c r="O249" i="3" s="1"/>
  <c r="BB247" i="3" l="1"/>
  <c r="P247" i="3" s="1"/>
  <c r="S250" i="1"/>
  <c r="BC248" i="3"/>
  <c r="Q248" i="3" s="1"/>
  <c r="AA250" i="1"/>
  <c r="T251" i="1"/>
  <c r="Y250" i="1"/>
  <c r="R253" i="1"/>
  <c r="BA250" i="3"/>
  <c r="O250" i="3" s="1"/>
  <c r="AB251" i="1"/>
  <c r="U252" i="1"/>
  <c r="Z251" i="1"/>
  <c r="BD249" i="3"/>
  <c r="R249" i="3" s="1"/>
  <c r="S251" i="1" l="1"/>
  <c r="BB248" i="3"/>
  <c r="P248" i="3" s="1"/>
  <c r="U253" i="1"/>
  <c r="AB252" i="1"/>
  <c r="Z252" i="1"/>
  <c r="BD250" i="3"/>
  <c r="R250" i="3" s="1"/>
  <c r="BC249" i="3"/>
  <c r="Q249" i="3" s="1"/>
  <c r="AA251" i="1"/>
  <c r="T252" i="1"/>
  <c r="Y251" i="1"/>
  <c r="BA251" i="3"/>
  <c r="O251" i="3" s="1"/>
  <c r="R254" i="1"/>
  <c r="BB249" i="3" l="1"/>
  <c r="P249" i="3" s="1"/>
  <c r="S252" i="1"/>
  <c r="T253" i="1"/>
  <c r="BC250" i="3"/>
  <c r="Q250" i="3" s="1"/>
  <c r="AA252" i="1"/>
  <c r="Y252" i="1"/>
  <c r="R255" i="1"/>
  <c r="BA252" i="3"/>
  <c r="O252" i="3" s="1"/>
  <c r="U254" i="1"/>
  <c r="Z253" i="1"/>
  <c r="AB253" i="1"/>
  <c r="BD251" i="3"/>
  <c r="R251" i="3" s="1"/>
  <c r="S253" i="1" l="1"/>
  <c r="BB250" i="3"/>
  <c r="P250" i="3" s="1"/>
  <c r="U255" i="1"/>
  <c r="BD252" i="3"/>
  <c r="R252" i="3" s="1"/>
  <c r="Z254" i="1"/>
  <c r="AB254" i="1"/>
  <c r="R256" i="1"/>
  <c r="BA253" i="3"/>
  <c r="O253" i="3" s="1"/>
  <c r="T254" i="1"/>
  <c r="BC251" i="3"/>
  <c r="Q251" i="3" s="1"/>
  <c r="Y253" i="1"/>
  <c r="AA253" i="1"/>
  <c r="BB251" i="3" l="1"/>
  <c r="P251" i="3" s="1"/>
  <c r="S254" i="1"/>
  <c r="R257" i="1"/>
  <c r="BA254" i="3"/>
  <c r="O254" i="3" s="1"/>
  <c r="T255" i="1"/>
  <c r="Y254" i="1"/>
  <c r="BC252" i="3"/>
  <c r="Q252" i="3" s="1"/>
  <c r="AA254" i="1"/>
  <c r="AB255" i="1"/>
  <c r="U256" i="1"/>
  <c r="Z255" i="1"/>
  <c r="BD253" i="3"/>
  <c r="R253" i="3" s="1"/>
  <c r="S255" i="1" l="1"/>
  <c r="BB252" i="3"/>
  <c r="P252" i="3" s="1"/>
  <c r="BD254" i="3"/>
  <c r="R254" i="3" s="1"/>
  <c r="U257" i="1"/>
  <c r="Z256" i="1"/>
  <c r="AB256" i="1"/>
  <c r="BC253" i="3"/>
  <c r="Q253" i="3" s="1"/>
  <c r="T256" i="1"/>
  <c r="Y255" i="1"/>
  <c r="AA255" i="1"/>
  <c r="BA255" i="3"/>
  <c r="O255" i="3" s="1"/>
  <c r="R258" i="1"/>
  <c r="BB253" i="3" l="1"/>
  <c r="P253" i="3" s="1"/>
  <c r="S256" i="1"/>
  <c r="R259" i="1"/>
  <c r="BA256" i="3"/>
  <c r="O256" i="3" s="1"/>
  <c r="AA256" i="1"/>
  <c r="BC254" i="3"/>
  <c r="Q254" i="3" s="1"/>
  <c r="T257" i="1"/>
  <c r="Y256" i="1"/>
  <c r="Z257" i="1"/>
  <c r="AB257" i="1"/>
  <c r="U258" i="1"/>
  <c r="BD255" i="3"/>
  <c r="R255" i="3" s="1"/>
  <c r="S257" i="1" l="1"/>
  <c r="BB254" i="3"/>
  <c r="P254" i="3" s="1"/>
  <c r="AB258" i="1"/>
  <c r="BD256" i="3"/>
  <c r="R256" i="3" s="1"/>
  <c r="Z258" i="1"/>
  <c r="U259" i="1"/>
  <c r="BC255" i="3"/>
  <c r="Q255" i="3" s="1"/>
  <c r="AA257" i="1"/>
  <c r="Y257" i="1"/>
  <c r="T258" i="1"/>
  <c r="BA257" i="3"/>
  <c r="O257" i="3" s="1"/>
  <c r="R260" i="1"/>
  <c r="S258" i="1" l="1"/>
  <c r="BB255" i="3"/>
  <c r="P255" i="3" s="1"/>
  <c r="R261" i="1"/>
  <c r="BA258" i="3"/>
  <c r="O258" i="3" s="1"/>
  <c r="T259" i="1"/>
  <c r="Y258" i="1"/>
  <c r="BC256" i="3"/>
  <c r="Q256" i="3" s="1"/>
  <c r="AA258" i="1"/>
  <c r="U260" i="1"/>
  <c r="AB259" i="1"/>
  <c r="Z259" i="1"/>
  <c r="BD257" i="3"/>
  <c r="R257" i="3" s="1"/>
  <c r="BB256" i="3" l="1"/>
  <c r="P256" i="3" s="1"/>
  <c r="S259" i="1"/>
  <c r="T260" i="1"/>
  <c r="BC257" i="3"/>
  <c r="Q257" i="3" s="1"/>
  <c r="Y259" i="1"/>
  <c r="AA259" i="1"/>
  <c r="AB260" i="1"/>
  <c r="BD258" i="3"/>
  <c r="R258" i="3" s="1"/>
  <c r="U261" i="1"/>
  <c r="Z260" i="1"/>
  <c r="R262" i="1"/>
  <c r="BA259" i="3"/>
  <c r="O259" i="3" s="1"/>
  <c r="BB257" i="3" l="1"/>
  <c r="P257" i="3" s="1"/>
  <c r="S260" i="1"/>
  <c r="AA260" i="1"/>
  <c r="Y260" i="1"/>
  <c r="T261" i="1"/>
  <c r="BC258" i="3"/>
  <c r="Q258" i="3" s="1"/>
  <c r="BA260" i="3"/>
  <c r="O260" i="3" s="1"/>
  <c r="R263" i="1"/>
  <c r="U262" i="1"/>
  <c r="BD259" i="3"/>
  <c r="R259" i="3" s="1"/>
  <c r="AB261" i="1"/>
  <c r="Z261" i="1"/>
  <c r="BB258" i="3" l="1"/>
  <c r="P258" i="3" s="1"/>
  <c r="S261" i="1"/>
  <c r="Y261" i="1"/>
  <c r="T262" i="1"/>
  <c r="AA261" i="1"/>
  <c r="BC259" i="3"/>
  <c r="Q259" i="3" s="1"/>
  <c r="BA261" i="3"/>
  <c r="O261" i="3" s="1"/>
  <c r="R264" i="1"/>
  <c r="BD260" i="3"/>
  <c r="R260" i="3" s="1"/>
  <c r="AB262" i="1"/>
  <c r="Z262" i="1"/>
  <c r="U263" i="1"/>
  <c r="S262" i="1" l="1"/>
  <c r="BB259" i="3"/>
  <c r="P259" i="3" s="1"/>
  <c r="AB263" i="1"/>
  <c r="BD261" i="3"/>
  <c r="R261" i="3" s="1"/>
  <c r="Z263" i="1"/>
  <c r="U264" i="1"/>
  <c r="R265" i="1"/>
  <c r="BA262" i="3"/>
  <c r="O262" i="3" s="1"/>
  <c r="T263" i="1"/>
  <c r="AA262" i="1"/>
  <c r="Y262" i="1"/>
  <c r="BC260" i="3"/>
  <c r="Q260" i="3" s="1"/>
  <c r="BB260" i="3" l="1"/>
  <c r="P260" i="3" s="1"/>
  <c r="S263" i="1"/>
  <c r="AB264" i="1"/>
  <c r="BD262" i="3"/>
  <c r="R262" i="3" s="1"/>
  <c r="U265" i="1"/>
  <c r="Z264" i="1"/>
  <c r="BC261" i="3"/>
  <c r="Q261" i="3" s="1"/>
  <c r="AA263" i="1"/>
  <c r="T264" i="1"/>
  <c r="Y263" i="1"/>
  <c r="R266" i="1"/>
  <c r="BA263" i="3"/>
  <c r="O263" i="3" s="1"/>
  <c r="S264" i="1" l="1"/>
  <c r="BB261" i="3"/>
  <c r="P261" i="3" s="1"/>
  <c r="R267" i="1"/>
  <c r="BA264" i="3"/>
  <c r="O264" i="3" s="1"/>
  <c r="Y264" i="1"/>
  <c r="BC262" i="3"/>
  <c r="Q262" i="3" s="1"/>
  <c r="AA264" i="1"/>
  <c r="T265" i="1"/>
  <c r="U266" i="1"/>
  <c r="AB265" i="1"/>
  <c r="BD263" i="3"/>
  <c r="R263" i="3" s="1"/>
  <c r="Z265" i="1"/>
  <c r="S265" i="1" l="1"/>
  <c r="BB262" i="3"/>
  <c r="P262" i="3" s="1"/>
  <c r="AA265" i="1"/>
  <c r="Y265" i="1"/>
  <c r="T266" i="1"/>
  <c r="BC263" i="3"/>
  <c r="Q263" i="3" s="1"/>
  <c r="AB266" i="1"/>
  <c r="Z266" i="1"/>
  <c r="BD264" i="3"/>
  <c r="R264" i="3" s="1"/>
  <c r="U267" i="1"/>
  <c r="BA265" i="3"/>
  <c r="O265" i="3" s="1"/>
  <c r="R268" i="1"/>
  <c r="BB263" i="3" l="1"/>
  <c r="P263" i="3" s="1"/>
  <c r="S266" i="1"/>
  <c r="R269" i="1"/>
  <c r="BA266" i="3"/>
  <c r="O266" i="3" s="1"/>
  <c r="Y266" i="1"/>
  <c r="AA266" i="1"/>
  <c r="T267" i="1"/>
  <c r="BC264" i="3"/>
  <c r="Q264" i="3" s="1"/>
  <c r="BD265" i="3"/>
  <c r="R265" i="3" s="1"/>
  <c r="U268" i="1"/>
  <c r="AB267" i="1"/>
  <c r="Z267" i="1"/>
  <c r="S267" i="1" l="1"/>
  <c r="BB264" i="3"/>
  <c r="P264" i="3" s="1"/>
  <c r="BD266" i="3"/>
  <c r="R266" i="3" s="1"/>
  <c r="Z268" i="1"/>
  <c r="AB268" i="1"/>
  <c r="U269" i="1"/>
  <c r="Y267" i="1"/>
  <c r="AA267" i="1"/>
  <c r="BC265" i="3"/>
  <c r="Q265" i="3" s="1"/>
  <c r="T268" i="1"/>
  <c r="BA267" i="3"/>
  <c r="O267" i="3" s="1"/>
  <c r="R270" i="1"/>
  <c r="BB265" i="3" l="1"/>
  <c r="P265" i="3" s="1"/>
  <c r="S268" i="1"/>
  <c r="BD267" i="3"/>
  <c r="R267" i="3" s="1"/>
  <c r="U270" i="1"/>
  <c r="AB269" i="1"/>
  <c r="Z269" i="1"/>
  <c r="BA268" i="3"/>
  <c r="O268" i="3" s="1"/>
  <c r="R271" i="1"/>
  <c r="AA268" i="1"/>
  <c r="BC266" i="3"/>
  <c r="Q266" i="3" s="1"/>
  <c r="Y268" i="1"/>
  <c r="T269" i="1"/>
  <c r="BB266" i="3" l="1"/>
  <c r="P266" i="3" s="1"/>
  <c r="S269" i="1"/>
  <c r="Y269" i="1"/>
  <c r="AA269" i="1"/>
  <c r="T270" i="1"/>
  <c r="BC267" i="3"/>
  <c r="Q267" i="3" s="1"/>
  <c r="BD268" i="3"/>
  <c r="R268" i="3" s="1"/>
  <c r="AB270" i="1"/>
  <c r="Z270" i="1"/>
  <c r="U271" i="1"/>
  <c r="BA269" i="3"/>
  <c r="O269" i="3" s="1"/>
  <c r="R272" i="1"/>
  <c r="S270" i="1" l="1"/>
  <c r="BB267" i="3"/>
  <c r="P267" i="3" s="1"/>
  <c r="R273" i="1"/>
  <c r="BA270" i="3"/>
  <c r="O270" i="3" s="1"/>
  <c r="AB271" i="1"/>
  <c r="BD269" i="3"/>
  <c r="R269" i="3" s="1"/>
  <c r="U272" i="1"/>
  <c r="Z271" i="1"/>
  <c r="Y270" i="1"/>
  <c r="T271" i="1"/>
  <c r="BC268" i="3"/>
  <c r="Q268" i="3" s="1"/>
  <c r="AA270" i="1"/>
  <c r="S271" i="1" l="1"/>
  <c r="BB268" i="3"/>
  <c r="P268" i="3" s="1"/>
  <c r="BC269" i="3"/>
  <c r="Q269" i="3" s="1"/>
  <c r="T272" i="1"/>
  <c r="Y271" i="1"/>
  <c r="AA271" i="1"/>
  <c r="AB272" i="1"/>
  <c r="U273" i="1"/>
  <c r="Z272" i="1"/>
  <c r="BD270" i="3"/>
  <c r="R270" i="3" s="1"/>
  <c r="R274" i="1"/>
  <c r="BA271" i="3"/>
  <c r="O271" i="3" s="1"/>
  <c r="S272" i="1" l="1"/>
  <c r="BB269" i="3"/>
  <c r="P269" i="3" s="1"/>
  <c r="R275" i="1"/>
  <c r="BA272" i="3"/>
  <c r="O272" i="3" s="1"/>
  <c r="AA272" i="1"/>
  <c r="BC270" i="3"/>
  <c r="Q270" i="3" s="1"/>
  <c r="Y272" i="1"/>
  <c r="T273" i="1"/>
  <c r="AB273" i="1"/>
  <c r="U274" i="1"/>
  <c r="BD271" i="3"/>
  <c r="R271" i="3" s="1"/>
  <c r="Z273" i="1"/>
  <c r="S273" i="1" l="1"/>
  <c r="BB270" i="3"/>
  <c r="P270" i="3" s="1"/>
  <c r="BD272" i="3"/>
  <c r="R272" i="3" s="1"/>
  <c r="U275" i="1"/>
  <c r="Z274" i="1"/>
  <c r="AB274" i="1"/>
  <c r="Y273" i="1"/>
  <c r="AA273" i="1"/>
  <c r="T274" i="1"/>
  <c r="BC271" i="3"/>
  <c r="Q271" i="3" s="1"/>
  <c r="R276" i="1"/>
  <c r="BA273" i="3"/>
  <c r="O273" i="3" s="1"/>
  <c r="BB271" i="3" l="1"/>
  <c r="P271" i="3" s="1"/>
  <c r="S274" i="1"/>
  <c r="Y274" i="1"/>
  <c r="BC272" i="3"/>
  <c r="Q272" i="3" s="1"/>
  <c r="T275" i="1"/>
  <c r="AA274" i="1"/>
  <c r="Z275" i="1"/>
  <c r="BD273" i="3"/>
  <c r="R273" i="3" s="1"/>
  <c r="U276" i="1"/>
  <c r="AB275" i="1"/>
  <c r="R277" i="1"/>
  <c r="BA274" i="3"/>
  <c r="O274" i="3" s="1"/>
  <c r="BB272" i="3" l="1"/>
  <c r="P272" i="3" s="1"/>
  <c r="S275" i="1"/>
  <c r="AB276" i="1"/>
  <c r="Z276" i="1"/>
  <c r="BD274" i="3"/>
  <c r="R274" i="3" s="1"/>
  <c r="U277" i="1"/>
  <c r="BC273" i="3"/>
  <c r="Q273" i="3" s="1"/>
  <c r="Y275" i="1"/>
  <c r="T276" i="1"/>
  <c r="AA275" i="1"/>
  <c r="BA275" i="3"/>
  <c r="O275" i="3" s="1"/>
  <c r="R278" i="1"/>
  <c r="S276" i="1" l="1"/>
  <c r="BB273" i="3"/>
  <c r="P273" i="3" s="1"/>
  <c r="Y276" i="1"/>
  <c r="BC274" i="3"/>
  <c r="Q274" i="3" s="1"/>
  <c r="T277" i="1"/>
  <c r="AA276" i="1"/>
  <c r="Z277" i="1"/>
  <c r="BD275" i="3"/>
  <c r="R275" i="3" s="1"/>
  <c r="U278" i="1"/>
  <c r="AB277" i="1"/>
  <c r="AO3" i="3"/>
  <c r="O279" i="3"/>
  <c r="AO1" i="3"/>
  <c r="BB274" i="3" l="1"/>
  <c r="P274" i="3" s="1"/>
  <c r="S277" i="1"/>
  <c r="AB278" i="1"/>
  <c r="Z278" i="1"/>
  <c r="Z279" i="1" s="1"/>
  <c r="Z280" i="1" s="1"/>
  <c r="AA277" i="1"/>
  <c r="Y277" i="1"/>
  <c r="BC275" i="3"/>
  <c r="Q275" i="3" s="1"/>
  <c r="T278" i="1"/>
  <c r="R279" i="3"/>
  <c r="AG1" i="3"/>
  <c r="AG3" i="3"/>
  <c r="AN40" i="3"/>
  <c r="B39" i="4" s="1"/>
  <c r="AN78" i="3"/>
  <c r="B77" i="4" s="1"/>
  <c r="AN180" i="3"/>
  <c r="AN213" i="3"/>
  <c r="AN221" i="3"/>
  <c r="AN224" i="3"/>
  <c r="AN111" i="3"/>
  <c r="B110" i="4" s="1"/>
  <c r="AN214" i="3"/>
  <c r="AN165" i="3"/>
  <c r="AN202" i="3"/>
  <c r="AN256" i="3"/>
  <c r="AN130" i="3"/>
  <c r="B129" i="4" s="1"/>
  <c r="AN163" i="3"/>
  <c r="AN132" i="3"/>
  <c r="B131" i="4" s="1"/>
  <c r="AN44" i="3"/>
  <c r="B43" i="4" s="1"/>
  <c r="AN46" i="3"/>
  <c r="B45" i="4" s="1"/>
  <c r="AN37" i="3"/>
  <c r="B36" i="4" s="1"/>
  <c r="AN195" i="3"/>
  <c r="AN186" i="3"/>
  <c r="AN231" i="3"/>
  <c r="AN139" i="3"/>
  <c r="B138" i="4" s="1"/>
  <c r="AN91" i="3"/>
  <c r="B90" i="4" s="1"/>
  <c r="AN127" i="3"/>
  <c r="B126" i="4" s="1"/>
  <c r="AN35" i="3"/>
  <c r="B34" i="4" s="1"/>
  <c r="AN230" i="3"/>
  <c r="AN83" i="3"/>
  <c r="B82" i="4" s="1"/>
  <c r="AN112" i="3"/>
  <c r="B111" i="4" s="1"/>
  <c r="AN270" i="3"/>
  <c r="AN95" i="3"/>
  <c r="B94" i="4" s="1"/>
  <c r="AN232" i="3"/>
  <c r="AN235" i="3"/>
  <c r="AN128" i="3"/>
  <c r="B127" i="4" s="1"/>
  <c r="AN262" i="3"/>
  <c r="AN31" i="3"/>
  <c r="B30" i="4" s="1"/>
  <c r="AN97" i="3"/>
  <c r="B96" i="4" s="1"/>
  <c r="AN126" i="3"/>
  <c r="B125" i="4" s="1"/>
  <c r="AN28" i="3"/>
  <c r="B27" i="4" s="1"/>
  <c r="AN177" i="3"/>
  <c r="AN167" i="3"/>
  <c r="AN209" i="3"/>
  <c r="AN49" i="3"/>
  <c r="B48" i="4" s="1"/>
  <c r="AN72" i="3"/>
  <c r="B71" i="4" s="1"/>
  <c r="AN33" i="3"/>
  <c r="B32" i="4" s="1"/>
  <c r="AN114" i="3"/>
  <c r="B113" i="4" s="1"/>
  <c r="AN191" i="3"/>
  <c r="AN102" i="3"/>
  <c r="B101" i="4" s="1"/>
  <c r="AN129" i="3"/>
  <c r="B128" i="4" s="1"/>
  <c r="AN74" i="3"/>
  <c r="B73" i="4" s="1"/>
  <c r="AN190" i="3"/>
  <c r="AN39" i="3"/>
  <c r="B38" i="4" s="1"/>
  <c r="AN196" i="3"/>
  <c r="AN274" i="3"/>
  <c r="AN168" i="3"/>
  <c r="AN275" i="3"/>
  <c r="AN101" i="3"/>
  <c r="B100" i="4" s="1"/>
  <c r="AN150" i="3"/>
  <c r="B149" i="4" s="1"/>
  <c r="AN244" i="3"/>
  <c r="AN59" i="3"/>
  <c r="B58" i="4" s="1"/>
  <c r="AN42" i="3"/>
  <c r="B41" i="4" s="1"/>
  <c r="AN153" i="3"/>
  <c r="B152" i="4" s="1"/>
  <c r="AN145" i="3"/>
  <c r="B144" i="4" s="1"/>
  <c r="AN247" i="3"/>
  <c r="AN183" i="3"/>
  <c r="AN113" i="3"/>
  <c r="B112" i="4" s="1"/>
  <c r="AN60" i="3"/>
  <c r="B59" i="4" s="1"/>
  <c r="AN218" i="3"/>
  <c r="AN207" i="3"/>
  <c r="AN259" i="3"/>
  <c r="AN64" i="3"/>
  <c r="B63" i="4" s="1"/>
  <c r="AN159" i="3"/>
  <c r="B158" i="4" s="1"/>
  <c r="AN192" i="3"/>
  <c r="AN69" i="3"/>
  <c r="B68" i="4" s="1"/>
  <c r="AN70" i="3"/>
  <c r="B69" i="4" s="1"/>
  <c r="AN252" i="3"/>
  <c r="AN52" i="3"/>
  <c r="B51" i="4" s="1"/>
  <c r="AN142" i="3"/>
  <c r="B141" i="4" s="1"/>
  <c r="AN96" i="3"/>
  <c r="B95" i="4" s="1"/>
  <c r="AN263" i="3"/>
  <c r="AN88" i="3"/>
  <c r="B87" i="4" s="1"/>
  <c r="AN134" i="3"/>
  <c r="B133" i="4" s="1"/>
  <c r="AN45" i="3"/>
  <c r="B44" i="4" s="1"/>
  <c r="AN184" i="3"/>
  <c r="AN30" i="3"/>
  <c r="B29" i="4" s="1"/>
  <c r="AN38" i="3"/>
  <c r="B37" i="4" s="1"/>
  <c r="AN228" i="3"/>
  <c r="AN204" i="3"/>
  <c r="AN81" i="3"/>
  <c r="B80" i="4" s="1"/>
  <c r="AN157" i="3"/>
  <c r="B156" i="4" s="1"/>
  <c r="AN119" i="3"/>
  <c r="B118" i="4" s="1"/>
  <c r="AN79" i="3"/>
  <c r="B78" i="4" s="1"/>
  <c r="AN146" i="3"/>
  <c r="B145" i="4" s="1"/>
  <c r="AN149" i="3"/>
  <c r="B148" i="4" s="1"/>
  <c r="AN164" i="3"/>
  <c r="AN56" i="3"/>
  <c r="B55" i="4" s="1"/>
  <c r="AN160" i="3"/>
  <c r="B159" i="4" s="1"/>
  <c r="AN120" i="3"/>
  <c r="B119" i="4" s="1"/>
  <c r="AN41" i="3"/>
  <c r="B40" i="4" s="1"/>
  <c r="AN115" i="3"/>
  <c r="B114" i="4" s="1"/>
  <c r="AN175" i="3"/>
  <c r="AN65" i="3"/>
  <c r="B64" i="4" s="1"/>
  <c r="AN82" i="3"/>
  <c r="B81" i="4" s="1"/>
  <c r="AN200" i="3"/>
  <c r="AN205" i="3"/>
  <c r="AN217" i="3"/>
  <c r="AN248" i="3"/>
  <c r="AN26" i="3"/>
  <c r="B25" i="4" s="1"/>
  <c r="AN233" i="3"/>
  <c r="AN25" i="3"/>
  <c r="B24" i="4" s="1"/>
  <c r="AN178" i="3"/>
  <c r="AN140" i="3"/>
  <c r="B139" i="4" s="1"/>
  <c r="AN89" i="3"/>
  <c r="B88" i="4" s="1"/>
  <c r="AN53" i="3"/>
  <c r="B52" i="4" s="1"/>
  <c r="AN251" i="3"/>
  <c r="AN29" i="3"/>
  <c r="B28" i="4" s="1"/>
  <c r="AN63" i="3"/>
  <c r="B62" i="4" s="1"/>
  <c r="AN261" i="3"/>
  <c r="AN226" i="3"/>
  <c r="AN58" i="3"/>
  <c r="B57" i="4" s="1"/>
  <c r="AN148" i="3"/>
  <c r="B147" i="4" s="1"/>
  <c r="AN18" i="3"/>
  <c r="B17" i="4" s="1"/>
  <c r="AN216" i="3"/>
  <c r="AN243" i="3"/>
  <c r="AN193" i="3"/>
  <c r="AN124" i="3"/>
  <c r="B123" i="4" s="1"/>
  <c r="AN75" i="3"/>
  <c r="B74" i="4" s="1"/>
  <c r="AN154" i="3"/>
  <c r="B153" i="4" s="1"/>
  <c r="AN17" i="3"/>
  <c r="B16" i="4" s="1"/>
  <c r="AN121" i="3"/>
  <c r="B120" i="4" s="1"/>
  <c r="AN227" i="3"/>
  <c r="AN264" i="3"/>
  <c r="AN50" i="3"/>
  <c r="B49" i="4" s="1"/>
  <c r="AN92" i="3"/>
  <c r="B91" i="4" s="1"/>
  <c r="AN203" i="3"/>
  <c r="AN36" i="3"/>
  <c r="B35" i="4" s="1"/>
  <c r="AN137" i="3"/>
  <c r="B136" i="4" s="1"/>
  <c r="AN253" i="3"/>
  <c r="AN161" i="3"/>
  <c r="B160" i="4" s="1"/>
  <c r="AN54" i="3"/>
  <c r="B53" i="4" s="1"/>
  <c r="AN245" i="3"/>
  <c r="AN86" i="3"/>
  <c r="B85" i="4" s="1"/>
  <c r="AN215" i="3"/>
  <c r="AN136" i="3"/>
  <c r="B135" i="4" s="1"/>
  <c r="AN90" i="3"/>
  <c r="B89" i="4" s="1"/>
  <c r="AN267" i="3"/>
  <c r="AN223" i="3"/>
  <c r="AN174" i="3"/>
  <c r="AN98" i="3"/>
  <c r="B97" i="4" s="1"/>
  <c r="AN106" i="3"/>
  <c r="B105" i="4" s="1"/>
  <c r="AN103" i="3"/>
  <c r="B102" i="4" s="1"/>
  <c r="AN241" i="3"/>
  <c r="AN271" i="3"/>
  <c r="AN125" i="3"/>
  <c r="B124" i="4" s="1"/>
  <c r="AN239" i="3"/>
  <c r="AN219" i="3"/>
  <c r="AN117" i="3"/>
  <c r="B116" i="4" s="1"/>
  <c r="AN162" i="3"/>
  <c r="AN225" i="3"/>
  <c r="AN32" i="3"/>
  <c r="B31" i="4" s="1"/>
  <c r="AN57" i="3"/>
  <c r="B56" i="4" s="1"/>
  <c r="AN67" i="3"/>
  <c r="B66" i="4" s="1"/>
  <c r="AN48" i="3"/>
  <c r="B47" i="4" s="1"/>
  <c r="AN220" i="3"/>
  <c r="AN55" i="3"/>
  <c r="B54" i="4" s="1"/>
  <c r="AN260" i="3"/>
  <c r="AN122" i="3"/>
  <c r="B121" i="4" s="1"/>
  <c r="AN107" i="3"/>
  <c r="B106" i="4" s="1"/>
  <c r="AN138" i="3"/>
  <c r="B137" i="4" s="1"/>
  <c r="AN104" i="3"/>
  <c r="B103" i="4" s="1"/>
  <c r="AN169" i="3"/>
  <c r="AN197" i="3"/>
  <c r="AN242" i="3"/>
  <c r="AN80" i="3"/>
  <c r="B79" i="4" s="1"/>
  <c r="AN144" i="3"/>
  <c r="B143" i="4" s="1"/>
  <c r="AN172" i="3"/>
  <c r="AN43" i="3"/>
  <c r="B42" i="4" s="1"/>
  <c r="AN76" i="3"/>
  <c r="B75" i="4" s="1"/>
  <c r="AN176" i="3"/>
  <c r="AN118" i="3"/>
  <c r="B117" i="4" s="1"/>
  <c r="AN20" i="3"/>
  <c r="B19" i="4" s="1"/>
  <c r="AN66" i="3"/>
  <c r="B65" i="4" s="1"/>
  <c r="AN249" i="3"/>
  <c r="AN141" i="3"/>
  <c r="B140" i="4" s="1"/>
  <c r="AN246" i="3"/>
  <c r="AN99" i="3"/>
  <c r="B98" i="4" s="1"/>
  <c r="AN201" i="3"/>
  <c r="AN265" i="3"/>
  <c r="AN23" i="3"/>
  <c r="B22" i="4" s="1"/>
  <c r="AN94" i="3"/>
  <c r="B93" i="4" s="1"/>
  <c r="AN85" i="3"/>
  <c r="B84" i="4" s="1"/>
  <c r="AN131" i="3"/>
  <c r="B130" i="4" s="1"/>
  <c r="AN268" i="3"/>
  <c r="AN258" i="3"/>
  <c r="AN22" i="3"/>
  <c r="B21" i="4" s="1"/>
  <c r="AN24" i="3"/>
  <c r="B23" i="4" s="1"/>
  <c r="AN133" i="3"/>
  <c r="B132" i="4" s="1"/>
  <c r="AN237" i="3"/>
  <c r="AN238" i="3"/>
  <c r="AN77" i="3"/>
  <c r="B76" i="4" s="1"/>
  <c r="AN143" i="3"/>
  <c r="B142" i="4" s="1"/>
  <c r="AN222" i="3"/>
  <c r="AN34" i="3"/>
  <c r="B33" i="4" s="1"/>
  <c r="AN123" i="3"/>
  <c r="B122" i="4" s="1"/>
  <c r="AN47" i="3"/>
  <c r="B46" i="4" s="1"/>
  <c r="AN254" i="3"/>
  <c r="AN250" i="3"/>
  <c r="AN255" i="3"/>
  <c r="AN108" i="3"/>
  <c r="B107" i="4" s="1"/>
  <c r="AN170" i="3"/>
  <c r="AN68" i="3"/>
  <c r="B67" i="4" s="1"/>
  <c r="AN179" i="3"/>
  <c r="AN208" i="3"/>
  <c r="AN187" i="3"/>
  <c r="AN147" i="3"/>
  <c r="B146" i="4" s="1"/>
  <c r="AN173" i="3"/>
  <c r="AN100" i="3"/>
  <c r="B99" i="4" s="1"/>
  <c r="AN62" i="3"/>
  <c r="B61" i="4" s="1"/>
  <c r="AN171" i="3"/>
  <c r="AN155" i="3"/>
  <c r="B154" i="4" s="1"/>
  <c r="AN21" i="3"/>
  <c r="B20" i="4" s="1"/>
  <c r="AN185" i="3"/>
  <c r="AN158" i="3"/>
  <c r="B157" i="4" s="1"/>
  <c r="AN240" i="3"/>
  <c r="AN110" i="3"/>
  <c r="B109" i="4" s="1"/>
  <c r="AN166" i="3"/>
  <c r="AN151" i="3"/>
  <c r="B150" i="4" s="1"/>
  <c r="AN234" i="3"/>
  <c r="AN236" i="3"/>
  <c r="AN93" i="3"/>
  <c r="B92" i="4" s="1"/>
  <c r="AN156" i="3"/>
  <c r="B155" i="4" s="1"/>
  <c r="AN109" i="3"/>
  <c r="B108" i="4" s="1"/>
  <c r="AN152" i="3"/>
  <c r="B151" i="4" s="1"/>
  <c r="AN266" i="3"/>
  <c r="AN182" i="3"/>
  <c r="AN61" i="3"/>
  <c r="B60" i="4" s="1"/>
  <c r="AN27" i="3"/>
  <c r="B26" i="4" s="1"/>
  <c r="AN87" i="3"/>
  <c r="B86" i="4" s="1"/>
  <c r="AN229" i="3"/>
  <c r="AN269" i="3"/>
  <c r="AN210" i="3"/>
  <c r="AN116" i="3"/>
  <c r="B115" i="4" s="1"/>
  <c r="AN73" i="3"/>
  <c r="B72" i="4" s="1"/>
  <c r="AN273" i="3"/>
  <c r="AN188" i="3"/>
  <c r="AN211" i="3"/>
  <c r="AN189" i="3"/>
  <c r="AN194" i="3"/>
  <c r="AN198" i="3"/>
  <c r="AN206" i="3"/>
  <c r="AN199" i="3"/>
  <c r="AN212" i="3"/>
  <c r="AN71" i="3"/>
  <c r="B70" i="4" s="1"/>
  <c r="AN51" i="3"/>
  <c r="B50" i="4" s="1"/>
  <c r="AN272" i="3"/>
  <c r="AN19" i="3"/>
  <c r="B18" i="4" s="1"/>
  <c r="AN181" i="3"/>
  <c r="AN105" i="3"/>
  <c r="B104" i="4" s="1"/>
  <c r="AN84" i="3"/>
  <c r="B83" i="4" s="1"/>
  <c r="AN257" i="3"/>
  <c r="AN135" i="3"/>
  <c r="B134" i="4" s="1"/>
  <c r="AF99" i="3"/>
  <c r="AF69" i="3"/>
  <c r="AF141" i="3"/>
  <c r="AF192" i="3"/>
  <c r="AF62" i="3"/>
  <c r="AF204" i="3"/>
  <c r="AF166" i="3"/>
  <c r="AF148" i="3"/>
  <c r="AF57" i="3"/>
  <c r="AF221" i="3"/>
  <c r="AF150" i="3"/>
  <c r="AF247" i="3"/>
  <c r="AF81" i="3"/>
  <c r="AF252" i="3"/>
  <c r="AF179" i="3"/>
  <c r="AF240" i="3"/>
  <c r="AF77" i="3"/>
  <c r="AF186" i="3"/>
  <c r="AF242" i="3"/>
  <c r="AF194" i="3"/>
  <c r="AF265" i="3"/>
  <c r="AF91" i="3"/>
  <c r="AF207" i="3"/>
  <c r="AF219" i="3"/>
  <c r="AF117" i="3"/>
  <c r="AF101" i="3"/>
  <c r="AF79" i="3"/>
  <c r="AF108" i="3"/>
  <c r="AF127" i="3"/>
  <c r="AF103" i="3"/>
  <c r="AF236" i="3"/>
  <c r="AF39" i="3"/>
  <c r="AF129" i="3"/>
  <c r="AF143" i="3"/>
  <c r="AF123" i="3"/>
  <c r="AF188" i="3"/>
  <c r="AF42" i="3"/>
  <c r="AF95" i="3"/>
  <c r="AF142" i="3"/>
  <c r="AF45" i="3"/>
  <c r="AF136" i="3"/>
  <c r="AF259" i="3"/>
  <c r="AF41" i="3"/>
  <c r="AF202" i="3"/>
  <c r="AF109" i="3"/>
  <c r="AF125" i="3"/>
  <c r="AF164" i="3"/>
  <c r="AF269" i="3"/>
  <c r="AF88" i="3"/>
  <c r="AF46" i="3"/>
  <c r="AF181" i="3"/>
  <c r="AF36" i="3"/>
  <c r="AF210" i="3"/>
  <c r="AF137" i="3"/>
  <c r="AF257" i="3"/>
  <c r="AF86" i="3"/>
  <c r="AF178" i="3"/>
  <c r="AF94" i="3"/>
  <c r="AF203" i="3"/>
  <c r="AF90" i="3"/>
  <c r="AF205" i="3"/>
  <c r="AF227" i="3"/>
  <c r="AF246" i="3"/>
  <c r="AF232" i="3"/>
  <c r="AF220" i="3"/>
  <c r="AF206" i="3"/>
  <c r="AF223" i="3"/>
  <c r="AF159" i="3"/>
  <c r="AF172" i="3"/>
  <c r="AF106" i="3"/>
  <c r="AF272" i="3"/>
  <c r="AF212" i="3"/>
  <c r="AF100" i="3"/>
  <c r="AF211" i="3"/>
  <c r="AF199" i="3"/>
  <c r="AF116" i="3"/>
  <c r="AF191" i="3"/>
  <c r="AF157" i="3"/>
  <c r="AF196" i="3"/>
  <c r="AF213" i="3"/>
  <c r="AF174" i="3"/>
  <c r="AF187" i="3"/>
  <c r="AF124" i="3"/>
  <c r="AF75" i="3"/>
  <c r="AF105" i="3"/>
  <c r="AF248" i="3"/>
  <c r="AF78" i="3"/>
  <c r="AF67" i="3"/>
  <c r="AF214" i="3"/>
  <c r="AF131" i="3"/>
  <c r="AF271" i="3"/>
  <c r="AF112" i="3"/>
  <c r="AF72" i="3"/>
  <c r="AF115" i="3"/>
  <c r="AF195" i="3"/>
  <c r="AF134" i="3"/>
  <c r="AF80" i="3"/>
  <c r="AF50" i="3"/>
  <c r="AF165" i="3"/>
  <c r="AF118" i="3"/>
  <c r="AF270" i="3"/>
  <c r="AF51" i="3"/>
  <c r="AF162" i="3"/>
  <c r="AF216" i="3"/>
  <c r="AF83" i="3"/>
  <c r="AF176" i="3"/>
  <c r="AF275" i="3"/>
  <c r="AF73" i="3"/>
  <c r="AF54" i="3"/>
  <c r="AF254" i="3"/>
  <c r="AF126" i="3"/>
  <c r="AF144" i="3"/>
  <c r="AF185" i="3"/>
  <c r="AF256" i="3"/>
  <c r="AF58" i="3"/>
  <c r="AF96" i="3"/>
  <c r="AF119" i="3"/>
  <c r="AF226" i="3"/>
  <c r="AF177" i="3"/>
  <c r="AF49" i="3"/>
  <c r="AF74" i="3"/>
  <c r="AF89" i="3"/>
  <c r="AF198" i="3"/>
  <c r="AF153" i="3"/>
  <c r="AF132" i="3"/>
  <c r="AF121" i="3"/>
  <c r="AF193" i="3"/>
  <c r="AF104" i="3"/>
  <c r="AF111" i="3"/>
  <c r="AF222" i="3"/>
  <c r="AF138" i="3"/>
  <c r="AF147" i="3"/>
  <c r="AF53" i="3"/>
  <c r="AF249" i="3"/>
  <c r="AF262" i="3"/>
  <c r="AF209" i="3"/>
  <c r="AF238" i="3"/>
  <c r="AF61" i="3"/>
  <c r="AF71" i="3"/>
  <c r="AF175" i="3"/>
  <c r="AF98" i="3"/>
  <c r="AF169" i="3"/>
  <c r="AF197" i="3"/>
  <c r="AF190" i="3"/>
  <c r="AF135" i="3"/>
  <c r="AF158" i="3"/>
  <c r="AF264" i="3"/>
  <c r="AF224" i="3"/>
  <c r="AF40" i="3"/>
  <c r="AF161" i="3"/>
  <c r="AF107" i="3"/>
  <c r="AF200" i="3"/>
  <c r="AF76" i="3"/>
  <c r="AF233" i="3"/>
  <c r="AF160" i="3"/>
  <c r="AF145" i="3"/>
  <c r="AF52" i="3"/>
  <c r="AF84" i="3"/>
  <c r="AF243" i="3"/>
  <c r="AF140" i="3"/>
  <c r="AF44" i="3"/>
  <c r="AF92" i="3"/>
  <c r="AF82" i="3"/>
  <c r="AF244" i="3"/>
  <c r="AF180" i="3"/>
  <c r="AF154" i="3"/>
  <c r="AF208" i="3"/>
  <c r="AF55" i="3"/>
  <c r="AF173" i="3"/>
  <c r="AF65" i="3"/>
  <c r="AF47" i="3"/>
  <c r="AF201" i="3"/>
  <c r="AF171" i="3"/>
  <c r="AF228" i="3"/>
  <c r="AF102" i="3"/>
  <c r="AF251" i="3"/>
  <c r="AF64" i="3"/>
  <c r="AF59" i="3"/>
  <c r="AF255" i="3"/>
  <c r="AF146" i="3"/>
  <c r="AF68" i="3"/>
  <c r="AF267" i="3"/>
  <c r="AF258" i="3"/>
  <c r="AF120" i="3"/>
  <c r="AF235" i="3"/>
  <c r="AF60" i="3"/>
  <c r="AF253" i="3"/>
  <c r="AF261" i="3"/>
  <c r="AF163" i="3"/>
  <c r="AF167" i="3"/>
  <c r="AF110" i="3"/>
  <c r="AF273" i="3"/>
  <c r="AF122" i="3"/>
  <c r="AF97" i="3"/>
  <c r="AF239" i="3"/>
  <c r="AF260" i="3"/>
  <c r="AF133" i="3"/>
  <c r="AF43" i="3"/>
  <c r="AF230" i="3"/>
  <c r="AF56" i="3"/>
  <c r="AF170" i="3"/>
  <c r="AF241" i="3"/>
  <c r="AF184" i="3"/>
  <c r="AF151" i="3"/>
  <c r="AF225" i="3"/>
  <c r="AF114" i="3"/>
  <c r="AF63" i="3"/>
  <c r="AF48" i="3"/>
  <c r="AF149" i="3"/>
  <c r="AF128" i="3"/>
  <c r="AF237" i="3"/>
  <c r="AF156" i="3"/>
  <c r="AF85" i="3"/>
  <c r="AF152" i="3"/>
  <c r="AF139" i="3"/>
  <c r="AF37" i="3"/>
  <c r="AF66" i="3"/>
  <c r="AF182" i="3"/>
  <c r="AF274" i="3"/>
  <c r="AF87" i="3"/>
  <c r="AF218" i="3"/>
  <c r="AF168" i="3"/>
  <c r="AF266" i="3"/>
  <c r="AF250" i="3"/>
  <c r="AF217" i="3"/>
  <c r="AF231" i="3"/>
  <c r="AF268" i="3"/>
  <c r="AF38" i="3"/>
  <c r="AF183" i="3"/>
  <c r="AF234" i="3"/>
  <c r="AF263" i="3"/>
  <c r="AF155" i="3"/>
  <c r="AF130" i="3"/>
  <c r="AF189" i="3"/>
  <c r="AF93" i="3"/>
  <c r="AF245" i="3"/>
  <c r="AF229" i="3"/>
  <c r="AF113" i="3"/>
  <c r="AF215" i="3"/>
  <c r="AF70" i="3"/>
  <c r="Z146" i="3"/>
  <c r="Z109" i="3"/>
  <c r="Z89" i="3"/>
  <c r="Z55" i="3"/>
  <c r="Z215" i="3"/>
  <c r="Z274" i="3"/>
  <c r="Z213" i="3"/>
  <c r="Z74" i="3"/>
  <c r="Z159" i="3"/>
  <c r="Z130" i="3"/>
  <c r="Z104" i="3"/>
  <c r="Z68" i="3"/>
  <c r="Z209" i="3"/>
  <c r="Z222" i="3"/>
  <c r="Z59" i="3"/>
  <c r="Z142" i="3"/>
  <c r="Z57" i="3"/>
  <c r="Z187" i="3"/>
  <c r="Z201" i="3"/>
  <c r="Z70" i="3"/>
  <c r="Z257" i="3"/>
  <c r="Z186" i="3"/>
  <c r="Z112" i="3"/>
  <c r="Z231" i="3"/>
  <c r="Z251" i="3"/>
  <c r="Z150" i="3"/>
  <c r="Z100" i="3"/>
  <c r="Z62" i="3"/>
  <c r="Z152" i="3"/>
  <c r="Z134" i="3"/>
  <c r="Z46" i="3"/>
  <c r="Z267" i="3"/>
  <c r="Z193" i="3"/>
  <c r="Z115" i="3"/>
  <c r="Z65" i="3"/>
  <c r="Z219" i="3"/>
  <c r="Z40" i="3"/>
  <c r="Z49" i="3"/>
  <c r="Z82" i="3"/>
  <c r="Z131" i="3"/>
  <c r="Z194" i="3"/>
  <c r="Z118" i="3"/>
  <c r="Z271" i="3"/>
  <c r="Z84" i="3"/>
  <c r="Z67" i="3"/>
  <c r="Z228" i="3"/>
  <c r="Z140" i="3"/>
  <c r="Z81" i="3"/>
  <c r="Z126" i="3"/>
  <c r="Z180" i="3"/>
  <c r="Z44" i="3"/>
  <c r="Z101" i="3"/>
  <c r="Z51" i="3"/>
  <c r="Z275" i="3"/>
  <c r="Z244" i="3"/>
  <c r="Z77" i="3"/>
  <c r="Z270" i="3"/>
  <c r="Z69" i="3"/>
  <c r="Z224" i="3"/>
  <c r="Z42" i="3"/>
  <c r="Z114" i="3"/>
  <c r="Z204" i="3"/>
  <c r="Z95" i="3"/>
  <c r="Z176" i="3"/>
  <c r="Z234" i="3"/>
  <c r="Z158" i="3"/>
  <c r="Z45" i="3"/>
  <c r="Z94" i="3"/>
  <c r="Z207" i="3"/>
  <c r="Z149" i="3"/>
  <c r="Z63" i="3"/>
  <c r="Z178" i="3"/>
  <c r="Z229" i="3"/>
  <c r="Z252" i="3"/>
  <c r="Z183" i="3"/>
  <c r="Z110" i="3"/>
  <c r="Z208" i="3"/>
  <c r="Z128" i="3"/>
  <c r="Z154" i="3"/>
  <c r="Z241" i="3"/>
  <c r="Z166" i="3"/>
  <c r="Z147" i="3"/>
  <c r="Z113" i="3"/>
  <c r="Z144" i="3"/>
  <c r="Z185" i="3"/>
  <c r="Z64" i="3"/>
  <c r="Z248" i="3"/>
  <c r="Z88" i="3"/>
  <c r="Z202" i="3"/>
  <c r="Z66" i="3"/>
  <c r="Z124" i="3"/>
  <c r="Z197" i="3"/>
  <c r="Z80" i="3"/>
  <c r="Z75" i="3"/>
  <c r="Z211" i="3"/>
  <c r="Z162" i="3"/>
  <c r="Z245" i="3"/>
  <c r="Z173" i="3"/>
  <c r="Z238" i="3"/>
  <c r="Z196" i="3"/>
  <c r="Z167" i="3"/>
  <c r="Z50" i="3"/>
  <c r="Z39" i="3"/>
  <c r="Z258" i="3"/>
  <c r="Z125" i="3"/>
  <c r="Z237" i="3"/>
  <c r="Z214" i="3"/>
  <c r="Z174" i="3"/>
  <c r="Z168" i="3"/>
  <c r="Z153" i="3"/>
  <c r="Z169" i="3"/>
  <c r="Z127" i="3"/>
  <c r="Z139" i="3"/>
  <c r="Z56" i="3"/>
  <c r="Z132" i="3"/>
  <c r="Z171" i="3"/>
  <c r="Z90" i="3"/>
  <c r="Z43" i="3"/>
  <c r="Z143" i="3"/>
  <c r="Z92" i="3"/>
  <c r="Z250" i="3"/>
  <c r="Z117" i="3"/>
  <c r="Z221" i="3"/>
  <c r="Z160" i="3"/>
  <c r="Z181" i="3"/>
  <c r="Z97" i="3"/>
  <c r="Z242" i="3"/>
  <c r="Z263" i="3"/>
  <c r="Z163" i="3"/>
  <c r="Z192" i="3"/>
  <c r="Z199" i="3"/>
  <c r="Z105" i="3"/>
  <c r="Z227" i="3"/>
  <c r="Z119" i="3"/>
  <c r="Z188" i="3"/>
  <c r="Z179" i="3"/>
  <c r="Z232" i="3"/>
  <c r="Z122" i="3"/>
  <c r="Z195" i="3"/>
  <c r="Z218" i="3"/>
  <c r="Z216" i="3"/>
  <c r="Z236" i="3"/>
  <c r="Z73" i="3"/>
  <c r="Z102" i="3"/>
  <c r="Z220" i="3"/>
  <c r="Z260" i="3"/>
  <c r="Z86" i="3"/>
  <c r="Z210" i="3"/>
  <c r="Z273" i="3"/>
  <c r="Z93" i="3"/>
  <c r="Z170" i="3"/>
  <c r="Z190" i="3"/>
  <c r="Z206" i="3"/>
  <c r="Z243" i="3"/>
  <c r="Z226" i="3"/>
  <c r="Z48" i="3"/>
  <c r="Z269" i="3"/>
  <c r="Z223" i="3"/>
  <c r="Z135" i="3"/>
  <c r="Z264" i="3"/>
  <c r="Z38" i="3"/>
  <c r="Z120" i="3"/>
  <c r="Z85" i="3"/>
  <c r="Z145" i="3"/>
  <c r="Z184" i="3"/>
  <c r="Z177" i="3"/>
  <c r="Z136" i="3"/>
  <c r="Z103" i="3"/>
  <c r="Z268" i="3"/>
  <c r="Z54" i="3"/>
  <c r="Z255" i="3"/>
  <c r="Z259" i="3"/>
  <c r="Z121" i="3"/>
  <c r="Z175" i="3"/>
  <c r="Z96" i="3"/>
  <c r="Z91" i="3"/>
  <c r="Z116" i="3"/>
  <c r="Z249" i="3"/>
  <c r="Z71" i="3"/>
  <c r="Z106" i="3"/>
  <c r="Z272" i="3"/>
  <c r="Z41" i="3"/>
  <c r="Z246" i="3"/>
  <c r="Z107" i="3"/>
  <c r="Z156" i="3"/>
  <c r="Z217" i="3"/>
  <c r="Z256" i="3"/>
  <c r="Z191" i="3"/>
  <c r="Z52" i="3"/>
  <c r="Z111" i="3"/>
  <c r="Z165" i="3"/>
  <c r="Z265" i="3"/>
  <c r="Z230" i="3"/>
  <c r="Z225" i="3"/>
  <c r="Z200" i="3"/>
  <c r="Z253" i="3"/>
  <c r="Z61" i="3"/>
  <c r="Z83" i="3"/>
  <c r="Z98" i="3"/>
  <c r="Z47" i="3"/>
  <c r="Z161" i="3"/>
  <c r="Z78" i="3"/>
  <c r="Z79" i="3"/>
  <c r="Z203" i="3"/>
  <c r="Z240" i="3"/>
  <c r="Z76" i="3"/>
  <c r="Z262" i="3"/>
  <c r="Z198" i="3"/>
  <c r="Z133" i="3"/>
  <c r="Z205" i="3"/>
  <c r="Z141" i="3"/>
  <c r="Z233" i="3"/>
  <c r="Z58" i="3"/>
  <c r="Z157" i="3"/>
  <c r="Z254" i="3"/>
  <c r="Z123" i="3"/>
  <c r="Z239" i="3"/>
  <c r="Z247" i="3"/>
  <c r="Z155" i="3"/>
  <c r="Z189" i="3"/>
  <c r="Z72" i="3"/>
  <c r="Z151" i="3"/>
  <c r="Z129" i="3"/>
  <c r="Z60" i="3"/>
  <c r="Z235" i="3"/>
  <c r="Z137" i="3"/>
  <c r="Z164" i="3"/>
  <c r="Z87" i="3"/>
  <c r="Z99" i="3"/>
  <c r="Z53" i="3"/>
  <c r="Z108" i="3"/>
  <c r="Z148" i="3"/>
  <c r="Z266" i="3"/>
  <c r="Z172" i="3"/>
  <c r="Z182" i="3"/>
  <c r="Z212" i="3"/>
  <c r="Z138" i="3"/>
  <c r="Z261" i="3"/>
  <c r="AM206" i="3"/>
  <c r="AM123" i="3"/>
  <c r="AM188" i="3"/>
  <c r="AM77" i="3"/>
  <c r="AM17" i="3"/>
  <c r="AM138" i="3"/>
  <c r="AM18" i="3"/>
  <c r="AM39" i="3"/>
  <c r="AM230" i="3"/>
  <c r="AM41" i="3"/>
  <c r="AM268" i="3"/>
  <c r="AM211" i="3"/>
  <c r="AM186" i="3"/>
  <c r="AM213" i="3"/>
  <c r="AM203" i="3"/>
  <c r="AM260" i="3"/>
  <c r="AM112" i="3"/>
  <c r="AM63" i="3"/>
  <c r="AM15" i="3"/>
  <c r="AM131" i="3"/>
  <c r="AM259" i="3"/>
  <c r="AM218" i="3"/>
  <c r="AM220" i="3"/>
  <c r="AM26" i="3"/>
  <c r="AM197" i="3"/>
  <c r="AM55" i="3"/>
  <c r="AM272" i="3"/>
  <c r="AM267" i="3"/>
  <c r="AM43" i="3"/>
  <c r="AM81" i="3"/>
  <c r="AM129" i="3"/>
  <c r="AM193" i="3"/>
  <c r="AM107" i="3"/>
  <c r="AM228" i="3"/>
  <c r="AM101" i="3"/>
  <c r="AM47" i="3"/>
  <c r="AM105" i="3"/>
  <c r="AM210" i="3"/>
  <c r="AM33" i="3"/>
  <c r="AM269" i="3"/>
  <c r="AM237" i="3"/>
  <c r="AM156" i="3"/>
  <c r="AM74" i="3"/>
  <c r="AM239" i="3"/>
  <c r="AM25" i="3"/>
  <c r="AM146" i="3"/>
  <c r="AM125" i="3"/>
  <c r="AM234" i="3"/>
  <c r="AM50" i="3"/>
  <c r="AM75" i="3"/>
  <c r="AM14" i="3"/>
  <c r="AM168" i="3"/>
  <c r="AM28" i="3"/>
  <c r="AM185" i="3"/>
  <c r="AM98" i="3"/>
  <c r="AM99" i="3"/>
  <c r="AM48" i="3"/>
  <c r="AM194" i="3"/>
  <c r="AM104" i="3"/>
  <c r="AM171" i="3"/>
  <c r="AM263" i="3"/>
  <c r="AM37" i="3"/>
  <c r="AM150" i="3"/>
  <c r="AM166" i="3"/>
  <c r="AM149" i="3"/>
  <c r="AM110" i="3"/>
  <c r="AM262" i="3"/>
  <c r="AM135" i="3"/>
  <c r="AM29" i="3"/>
  <c r="AM225" i="3"/>
  <c r="AM214" i="3"/>
  <c r="AM217" i="3"/>
  <c r="AM92" i="3"/>
  <c r="AM195" i="3"/>
  <c r="AM162" i="3"/>
  <c r="AM183" i="3"/>
  <c r="AM141" i="3"/>
  <c r="AM223" i="3"/>
  <c r="AM46" i="3"/>
  <c r="AM190" i="3"/>
  <c r="AM85" i="3"/>
  <c r="AM187" i="3"/>
  <c r="AM142" i="3"/>
  <c r="AM57" i="3"/>
  <c r="AM271" i="3"/>
  <c r="AM226" i="3"/>
  <c r="AM10" i="3"/>
  <c r="AM132" i="3"/>
  <c r="AM82" i="3"/>
  <c r="AM172" i="3"/>
  <c r="AM192" i="3"/>
  <c r="AM182" i="3"/>
  <c r="AM180" i="3"/>
  <c r="AM151" i="3"/>
  <c r="AM169" i="3"/>
  <c r="AM209" i="3"/>
  <c r="AM124" i="3"/>
  <c r="AM245" i="3"/>
  <c r="AM153" i="3"/>
  <c r="AM207" i="3"/>
  <c r="AM181" i="3"/>
  <c r="AM90" i="3"/>
  <c r="AM251" i="3"/>
  <c r="AM70" i="3"/>
  <c r="AM200" i="3"/>
  <c r="AM91" i="3"/>
  <c r="AM13" i="3"/>
  <c r="AM24" i="3"/>
  <c r="AM7" i="3"/>
  <c r="AM164" i="3"/>
  <c r="AM264" i="3"/>
  <c r="AM42" i="3"/>
  <c r="AM126" i="3"/>
  <c r="AM100" i="3"/>
  <c r="AM22" i="3"/>
  <c r="AM34" i="3"/>
  <c r="AM143" i="3"/>
  <c r="AM87" i="3"/>
  <c r="AM154" i="3"/>
  <c r="AM249" i="3"/>
  <c r="AM184" i="3"/>
  <c r="AM173" i="3"/>
  <c r="AM222" i="3"/>
  <c r="AM136" i="3"/>
  <c r="AM256" i="3"/>
  <c r="AM265" i="3"/>
  <c r="AM56" i="3"/>
  <c r="AM176" i="3"/>
  <c r="AM67" i="3"/>
  <c r="AM35" i="3"/>
  <c r="AM128" i="3"/>
  <c r="AM45" i="3"/>
  <c r="AM144" i="3"/>
  <c r="AM38" i="3"/>
  <c r="AM51" i="3"/>
  <c r="AM253" i="3"/>
  <c r="AM89" i="3"/>
  <c r="AM119" i="3"/>
  <c r="AM244" i="3"/>
  <c r="AM40" i="3"/>
  <c r="AM273" i="3"/>
  <c r="AM113" i="3"/>
  <c r="AM20" i="3"/>
  <c r="AM137" i="3"/>
  <c r="AM159" i="3"/>
  <c r="AM76" i="3"/>
  <c r="AM108" i="3"/>
  <c r="AM102" i="3"/>
  <c r="AM238" i="3"/>
  <c r="AM111" i="3"/>
  <c r="AM21" i="3"/>
  <c r="AM219" i="3"/>
  <c r="AM32" i="3"/>
  <c r="AM274" i="3"/>
  <c r="AM247" i="3"/>
  <c r="AM71" i="3"/>
  <c r="AM94" i="3"/>
  <c r="AM152" i="3"/>
  <c r="AM255" i="3"/>
  <c r="AM243" i="3"/>
  <c r="AM258" i="3"/>
  <c r="AM133" i="3"/>
  <c r="AM216" i="3"/>
  <c r="AM106" i="3"/>
  <c r="AM69" i="3"/>
  <c r="AM73" i="3"/>
  <c r="AM177" i="3"/>
  <c r="AM130" i="3"/>
  <c r="AM145" i="3"/>
  <c r="AM254" i="3"/>
  <c r="AM36" i="3"/>
  <c r="AM235" i="3"/>
  <c r="AM221" i="3"/>
  <c r="AM246" i="3"/>
  <c r="AM79" i="3"/>
  <c r="AM78" i="3"/>
  <c r="AM31" i="3"/>
  <c r="AM49" i="3"/>
  <c r="AM66" i="3"/>
  <c r="AM97" i="3"/>
  <c r="AM93" i="3"/>
  <c r="AM53" i="3"/>
  <c r="AM155" i="3"/>
  <c r="AM109" i="3"/>
  <c r="AM68" i="3"/>
  <c r="AM231" i="3"/>
  <c r="AM215" i="3"/>
  <c r="AM270" i="3"/>
  <c r="AM196" i="3"/>
  <c r="AM198" i="3"/>
  <c r="AM54" i="3"/>
  <c r="AM191" i="3"/>
  <c r="AM202" i="3"/>
  <c r="AM157" i="3"/>
  <c r="AM134" i="3"/>
  <c r="AM80" i="3"/>
  <c r="AM160" i="3"/>
  <c r="AM266" i="3"/>
  <c r="AM236" i="3"/>
  <c r="AM140" i="3"/>
  <c r="AM58" i="3"/>
  <c r="AM179" i="3"/>
  <c r="AM224" i="3"/>
  <c r="AM64" i="3"/>
  <c r="AM261" i="3"/>
  <c r="AM241" i="3"/>
  <c r="AM204" i="3"/>
  <c r="AM233" i="3"/>
  <c r="AM84" i="3"/>
  <c r="AM103" i="3"/>
  <c r="AM30" i="3"/>
  <c r="AM252" i="3"/>
  <c r="AM165" i="3"/>
  <c r="AM11" i="3"/>
  <c r="AM44" i="3"/>
  <c r="AM199" i="3"/>
  <c r="AM122" i="3"/>
  <c r="AM121" i="3"/>
  <c r="AM120" i="3"/>
  <c r="AM275" i="3"/>
  <c r="AM115" i="3"/>
  <c r="AM118" i="3"/>
  <c r="AM257" i="3"/>
  <c r="AM250" i="3"/>
  <c r="AM52" i="3"/>
  <c r="AM163" i="3"/>
  <c r="AM8" i="3"/>
  <c r="AM95" i="3"/>
  <c r="AM240" i="3"/>
  <c r="AM201" i="3"/>
  <c r="AM12" i="3"/>
  <c r="AM88" i="3"/>
  <c r="AM148" i="3"/>
  <c r="AM116" i="3"/>
  <c r="AM60" i="3"/>
  <c r="AM167" i="3"/>
  <c r="AM248" i="3"/>
  <c r="AM62" i="3"/>
  <c r="AM65" i="3"/>
  <c r="AM232" i="3"/>
  <c r="AM19" i="3"/>
  <c r="AM16" i="3"/>
  <c r="AM229" i="3"/>
  <c r="AM61" i="3"/>
  <c r="AM83" i="3"/>
  <c r="AM227" i="3"/>
  <c r="AM9" i="3"/>
  <c r="AM72" i="3"/>
  <c r="AM23" i="3"/>
  <c r="AM174" i="3"/>
  <c r="AM212" i="3"/>
  <c r="AM147" i="3"/>
  <c r="AM114" i="3"/>
  <c r="AM96" i="3"/>
  <c r="AM189" i="3"/>
  <c r="AM86" i="3"/>
  <c r="AM175" i="3"/>
  <c r="AM127" i="3"/>
  <c r="AM170" i="3"/>
  <c r="AM139" i="3"/>
  <c r="AM178" i="3"/>
  <c r="AM158" i="3"/>
  <c r="AM59" i="3"/>
  <c r="AM242" i="3"/>
  <c r="AM117" i="3"/>
  <c r="AM27" i="3"/>
  <c r="AM208" i="3"/>
  <c r="AM161" i="3"/>
  <c r="AM205" i="3"/>
  <c r="BB275" i="3" l="1"/>
  <c r="P275" i="3" s="1"/>
  <c r="S278" i="1"/>
  <c r="A157" i="4"/>
  <c r="A10" i="4"/>
  <c r="A72" i="4"/>
  <c r="A75" i="4"/>
  <c r="A127" i="4"/>
  <c r="A116" i="4"/>
  <c r="A113" i="4"/>
  <c r="A82" i="4"/>
  <c r="A18" i="4"/>
  <c r="A114" i="4"/>
  <c r="A121" i="4"/>
  <c r="A159" i="4"/>
  <c r="A67" i="4"/>
  <c r="A30" i="4"/>
  <c r="A144" i="4"/>
  <c r="A68" i="4"/>
  <c r="A93" i="4"/>
  <c r="A37" i="4"/>
  <c r="A86" i="4"/>
  <c r="A89" i="4"/>
  <c r="A150" i="4"/>
  <c r="A36" i="4"/>
  <c r="A145" i="4"/>
  <c r="A155" i="4"/>
  <c r="A80" i="4"/>
  <c r="A54" i="4"/>
  <c r="A62" i="4"/>
  <c r="A137" i="4"/>
  <c r="B86" i="5"/>
  <c r="B86" i="8"/>
  <c r="B188" i="8"/>
  <c r="B188" i="5"/>
  <c r="B106" i="8"/>
  <c r="B106" i="5"/>
  <c r="B90" i="5"/>
  <c r="B90" i="8"/>
  <c r="B102" i="8"/>
  <c r="B102" i="5"/>
  <c r="B189" i="5"/>
  <c r="B189" i="8"/>
  <c r="B101" i="5"/>
  <c r="B101" i="8"/>
  <c r="B104" i="5"/>
  <c r="B104" i="8"/>
  <c r="B159" i="5"/>
  <c r="B159" i="8"/>
  <c r="B170" i="8"/>
  <c r="B170" i="5"/>
  <c r="B173" i="8"/>
  <c r="B173" i="5"/>
  <c r="B195" i="5"/>
  <c r="B195" i="8"/>
  <c r="B196" i="5"/>
  <c r="B196" i="8"/>
  <c r="B143" i="5"/>
  <c r="B143" i="8"/>
  <c r="B109" i="5"/>
  <c r="B109" i="8"/>
  <c r="B93" i="8"/>
  <c r="B93" i="5"/>
  <c r="B41" i="8"/>
  <c r="B41" i="5"/>
  <c r="B100" i="5"/>
  <c r="B100" i="8"/>
  <c r="B83" i="8"/>
  <c r="B83" i="5"/>
  <c r="B61" i="5"/>
  <c r="B61" i="8"/>
  <c r="B69" i="8"/>
  <c r="B69" i="5"/>
  <c r="B67" i="5"/>
  <c r="B67" i="8"/>
  <c r="B54" i="8"/>
  <c r="B54" i="5"/>
  <c r="G37" i="5"/>
  <c r="K37" i="8"/>
  <c r="K86" i="8"/>
  <c r="G86" i="5"/>
  <c r="K47" i="8"/>
  <c r="G47" i="5"/>
  <c r="G55" i="5"/>
  <c r="K55" i="8"/>
  <c r="K119" i="8"/>
  <c r="G119" i="5"/>
  <c r="G54" i="5"/>
  <c r="K54" i="8"/>
  <c r="G139" i="5"/>
  <c r="K139" i="8"/>
  <c r="G174" i="5"/>
  <c r="K174" i="8"/>
  <c r="K146" i="8"/>
  <c r="G146" i="5"/>
  <c r="G152" i="5"/>
  <c r="K152" i="8"/>
  <c r="K95" i="8"/>
  <c r="G95" i="5"/>
  <c r="K72" i="8"/>
  <c r="G72" i="5"/>
  <c r="K133" i="8"/>
  <c r="G133" i="5"/>
  <c r="K66" i="8"/>
  <c r="G66" i="5"/>
  <c r="G85" i="5"/>
  <c r="K85" i="8"/>
  <c r="A160" i="4"/>
  <c r="A138" i="4"/>
  <c r="A85" i="4"/>
  <c r="A71" i="4"/>
  <c r="A60" i="4"/>
  <c r="A87" i="4"/>
  <c r="A94" i="4"/>
  <c r="A63" i="4"/>
  <c r="A139" i="4"/>
  <c r="A79" i="4"/>
  <c r="A108" i="4"/>
  <c r="A96" i="4"/>
  <c r="A77" i="4"/>
  <c r="A129" i="4"/>
  <c r="A105" i="4"/>
  <c r="A70" i="4"/>
  <c r="A101" i="4"/>
  <c r="A136" i="4"/>
  <c r="A39" i="4"/>
  <c r="A88" i="4"/>
  <c r="A143" i="4"/>
  <c r="A66" i="4"/>
  <c r="A142" i="4"/>
  <c r="A125" i="4"/>
  <c r="AL7" i="3"/>
  <c r="A6" i="4"/>
  <c r="A123" i="4"/>
  <c r="A81" i="4"/>
  <c r="A84" i="4"/>
  <c r="A140" i="4"/>
  <c r="A91" i="4"/>
  <c r="A28" i="4"/>
  <c r="A148" i="4"/>
  <c r="A47" i="4"/>
  <c r="A27" i="4"/>
  <c r="A49" i="4"/>
  <c r="A24" i="4"/>
  <c r="A104" i="4"/>
  <c r="A106" i="4"/>
  <c r="A42" i="4"/>
  <c r="A111" i="4"/>
  <c r="A16" i="4"/>
  <c r="B181" i="5"/>
  <c r="B181" i="8"/>
  <c r="B107" i="5"/>
  <c r="B107" i="8"/>
  <c r="B163" i="5"/>
  <c r="B163" i="8"/>
  <c r="B128" i="8"/>
  <c r="B128" i="5"/>
  <c r="B154" i="8"/>
  <c r="B154" i="5"/>
  <c r="B140" i="8"/>
  <c r="B140" i="5"/>
  <c r="B78" i="5"/>
  <c r="B78" i="8"/>
  <c r="B97" i="5"/>
  <c r="B97" i="8"/>
  <c r="B199" i="5"/>
  <c r="B164" i="8"/>
  <c r="B164" i="5"/>
  <c r="B70" i="8"/>
  <c r="B70" i="5"/>
  <c r="B95" i="8"/>
  <c r="B95" i="5"/>
  <c r="B135" i="8"/>
  <c r="B135" i="5"/>
  <c r="B84" i="8"/>
  <c r="B84" i="5"/>
  <c r="B134" i="5"/>
  <c r="B134" i="8"/>
  <c r="B169" i="8"/>
  <c r="B169" i="5"/>
  <c r="B85" i="5"/>
  <c r="B85" i="8"/>
  <c r="B72" i="5"/>
  <c r="B72" i="8"/>
  <c r="B194" i="5"/>
  <c r="B194" i="8"/>
  <c r="B187" i="8"/>
  <c r="B187" i="5"/>
  <c r="B198" i="8"/>
  <c r="B198" i="5"/>
  <c r="B142" i="5"/>
  <c r="B142" i="8"/>
  <c r="B131" i="5"/>
  <c r="B131" i="8"/>
  <c r="B168" i="8"/>
  <c r="B168" i="5"/>
  <c r="B38" i="8"/>
  <c r="B38" i="5"/>
  <c r="B123" i="8"/>
  <c r="B123" i="5"/>
  <c r="B112" i="8"/>
  <c r="B112" i="5"/>
  <c r="B153" i="5"/>
  <c r="B153" i="8"/>
  <c r="B182" i="5"/>
  <c r="B182" i="8"/>
  <c r="B62" i="8"/>
  <c r="B62" i="5"/>
  <c r="B44" i="8"/>
  <c r="B44" i="5"/>
  <c r="B94" i="5"/>
  <c r="B94" i="8"/>
  <c r="B43" i="5"/>
  <c r="B43" i="8"/>
  <c r="B139" i="5"/>
  <c r="B139" i="8"/>
  <c r="B81" i="5"/>
  <c r="B81" i="8"/>
  <c r="B64" i="5"/>
  <c r="B64" i="8"/>
  <c r="B45" i="8"/>
  <c r="B45" i="5"/>
  <c r="B99" i="5"/>
  <c r="B99" i="8"/>
  <c r="B111" i="8"/>
  <c r="B111" i="5"/>
  <c r="B200" i="5"/>
  <c r="B58" i="8"/>
  <c r="B58" i="5"/>
  <c r="B103" i="8"/>
  <c r="B103" i="5"/>
  <c r="B88" i="5"/>
  <c r="B88" i="8"/>
  <c r="G92" i="5"/>
  <c r="K92" i="8"/>
  <c r="K138" i="8"/>
  <c r="G138" i="5"/>
  <c r="K62" i="8"/>
  <c r="G62" i="5"/>
  <c r="G183" i="5"/>
  <c r="K183" i="8"/>
  <c r="K109" i="8"/>
  <c r="G109" i="5"/>
  <c r="K101" i="8"/>
  <c r="G101" i="5"/>
  <c r="G46" i="5"/>
  <c r="K46" i="8"/>
  <c r="G81" i="5"/>
  <c r="K81" i="8"/>
  <c r="G159" i="5"/>
  <c r="K159" i="8"/>
  <c r="K106" i="8"/>
  <c r="G106" i="5"/>
  <c r="K196" i="8"/>
  <c r="G196" i="5"/>
  <c r="K70" i="8"/>
  <c r="G70" i="5"/>
  <c r="G137" i="5"/>
  <c r="K137" i="8"/>
  <c r="K192" i="8"/>
  <c r="G192" i="5"/>
  <c r="K197" i="8"/>
  <c r="G197" i="5"/>
  <c r="G176" i="5"/>
  <c r="K176" i="8"/>
  <c r="G57" i="5"/>
  <c r="K57" i="8"/>
  <c r="K125" i="8"/>
  <c r="G125" i="5"/>
  <c r="G161" i="5"/>
  <c r="K161" i="8"/>
  <c r="G164" i="5"/>
  <c r="K164" i="8"/>
  <c r="G194" i="5"/>
  <c r="K194" i="8"/>
  <c r="G77" i="5"/>
  <c r="K77" i="8"/>
  <c r="G123" i="5"/>
  <c r="K123" i="8"/>
  <c r="G195" i="5"/>
  <c r="K195" i="8"/>
  <c r="K198" i="8"/>
  <c r="G198" i="5"/>
  <c r="K180" i="8"/>
  <c r="G180" i="5"/>
  <c r="G163" i="5"/>
  <c r="K163" i="8"/>
  <c r="K40" i="8"/>
  <c r="G40" i="5"/>
  <c r="K141" i="8"/>
  <c r="G141" i="5"/>
  <c r="K122" i="8"/>
  <c r="G122" i="5"/>
  <c r="G78" i="5"/>
  <c r="K78" i="8"/>
  <c r="G178" i="5"/>
  <c r="K178" i="8"/>
  <c r="G149" i="5"/>
  <c r="K149" i="8"/>
  <c r="K165" i="8"/>
  <c r="G165" i="5"/>
  <c r="K140" i="8"/>
  <c r="G140" i="5"/>
  <c r="A26" i="4"/>
  <c r="A95" i="4"/>
  <c r="A15" i="4"/>
  <c r="A120" i="4"/>
  <c r="A102" i="4"/>
  <c r="A48" i="4"/>
  <c r="A151" i="4"/>
  <c r="A22" i="4"/>
  <c r="A147" i="4"/>
  <c r="A51" i="4"/>
  <c r="A83" i="4"/>
  <c r="A57" i="4"/>
  <c r="A92" i="4"/>
  <c r="A31" i="4"/>
  <c r="A158" i="4"/>
  <c r="A34" i="4"/>
  <c r="A99" i="4"/>
  <c r="A90" i="4"/>
  <c r="A109" i="4"/>
  <c r="A74" i="4"/>
  <c r="A40" i="4"/>
  <c r="A122" i="4"/>
  <c r="B147" i="8"/>
  <c r="B147" i="5"/>
  <c r="B59" i="5"/>
  <c r="B59" i="8"/>
  <c r="B122" i="8"/>
  <c r="B122" i="5"/>
  <c r="B197" i="5"/>
  <c r="B197" i="8"/>
  <c r="B46" i="5"/>
  <c r="B46" i="8"/>
  <c r="B190" i="8"/>
  <c r="B190" i="5"/>
  <c r="B105" i="8"/>
  <c r="B105" i="5"/>
  <c r="B144" i="8"/>
  <c r="B144" i="5"/>
  <c r="B47" i="5"/>
  <c r="B47" i="8"/>
  <c r="B178" i="5"/>
  <c r="B178" i="8"/>
  <c r="B91" i="5"/>
  <c r="B91" i="8"/>
  <c r="B126" i="5"/>
  <c r="B126" i="8"/>
  <c r="B161" i="5"/>
  <c r="B161" i="8"/>
  <c r="B87" i="8"/>
  <c r="B87" i="5"/>
  <c r="B177" i="5"/>
  <c r="B177" i="8"/>
  <c r="B175" i="5"/>
  <c r="B175" i="8"/>
  <c r="B76" i="5"/>
  <c r="B76" i="8"/>
  <c r="B80" i="8"/>
  <c r="B80" i="5"/>
  <c r="B130" i="8"/>
  <c r="B130" i="5"/>
  <c r="B141" i="5"/>
  <c r="B141" i="8"/>
  <c r="B73" i="8"/>
  <c r="B73" i="5"/>
  <c r="K69" i="8"/>
  <c r="G69" i="5"/>
  <c r="K154" i="8"/>
  <c r="G154" i="5"/>
  <c r="K36" i="8"/>
  <c r="G36" i="5"/>
  <c r="G155" i="5"/>
  <c r="K155" i="8"/>
  <c r="G150" i="5"/>
  <c r="K150" i="8"/>
  <c r="K145" i="8"/>
  <c r="G145" i="5"/>
  <c r="G200" i="5"/>
  <c r="G144" i="5"/>
  <c r="K144" i="8"/>
  <c r="G199" i="5"/>
  <c r="G189" i="5"/>
  <c r="K189" i="8"/>
  <c r="K103" i="8"/>
  <c r="G103" i="5"/>
  <c r="K48" i="8"/>
  <c r="G48" i="5"/>
  <c r="G143" i="5"/>
  <c r="K143" i="8"/>
  <c r="G117" i="5"/>
  <c r="K117" i="8"/>
  <c r="G111" i="5"/>
  <c r="K111" i="8"/>
  <c r="K74" i="8"/>
  <c r="G74" i="5"/>
  <c r="G115" i="5"/>
  <c r="K115" i="8"/>
  <c r="G158" i="5"/>
  <c r="K158" i="8"/>
  <c r="G89" i="5"/>
  <c r="K89" i="8"/>
  <c r="K35" i="8"/>
  <c r="G35" i="5"/>
  <c r="X36" i="3"/>
  <c r="AE36" i="3" s="1"/>
  <c r="G44" i="5"/>
  <c r="K44" i="8"/>
  <c r="G187" i="5"/>
  <c r="K187" i="8"/>
  <c r="G38" i="5"/>
  <c r="K38" i="8"/>
  <c r="G107" i="5"/>
  <c r="K107" i="8"/>
  <c r="K193" i="8"/>
  <c r="G193" i="5"/>
  <c r="G147" i="5"/>
  <c r="K147" i="8"/>
  <c r="G191" i="5"/>
  <c r="K191" i="8"/>
  <c r="A146" i="4"/>
  <c r="A58" i="4"/>
  <c r="A8" i="4"/>
  <c r="A64" i="4"/>
  <c r="A59" i="4"/>
  <c r="A11" i="4"/>
  <c r="AL8" i="3"/>
  <c r="AL9" i="3" s="1"/>
  <c r="AL10" i="3" s="1"/>
  <c r="AL11" i="3" s="1"/>
  <c r="AL12" i="3" s="1"/>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L100" i="3" s="1"/>
  <c r="AL101" i="3" s="1"/>
  <c r="AL102" i="3" s="1"/>
  <c r="AL103" i="3" s="1"/>
  <c r="AL104" i="3" s="1"/>
  <c r="AL105" i="3" s="1"/>
  <c r="AL106" i="3" s="1"/>
  <c r="AL107" i="3" s="1"/>
  <c r="AL108" i="3" s="1"/>
  <c r="AL109" i="3" s="1"/>
  <c r="AL110" i="3" s="1"/>
  <c r="AL111" i="3" s="1"/>
  <c r="AL112" i="3" s="1"/>
  <c r="AL113" i="3" s="1"/>
  <c r="AL114" i="3" s="1"/>
  <c r="AL115" i="3" s="1"/>
  <c r="AL116" i="3" s="1"/>
  <c r="AL117" i="3" s="1"/>
  <c r="AL118" i="3" s="1"/>
  <c r="AL119" i="3" s="1"/>
  <c r="AL120" i="3" s="1"/>
  <c r="AL121" i="3" s="1"/>
  <c r="AL122" i="3" s="1"/>
  <c r="AL123" i="3" s="1"/>
  <c r="AL124" i="3" s="1"/>
  <c r="AL125" i="3" s="1"/>
  <c r="AL126" i="3" s="1"/>
  <c r="AL127" i="3" s="1"/>
  <c r="AL128" i="3" s="1"/>
  <c r="AL129" i="3" s="1"/>
  <c r="AL130" i="3" s="1"/>
  <c r="AL131" i="3" s="1"/>
  <c r="AL132" i="3" s="1"/>
  <c r="AL133" i="3" s="1"/>
  <c r="AL134" i="3" s="1"/>
  <c r="AL135" i="3" s="1"/>
  <c r="AL136" i="3" s="1"/>
  <c r="AL137" i="3" s="1"/>
  <c r="AL138" i="3" s="1"/>
  <c r="AL139" i="3" s="1"/>
  <c r="AL140" i="3" s="1"/>
  <c r="AL141" i="3" s="1"/>
  <c r="AL142" i="3" s="1"/>
  <c r="AL143" i="3" s="1"/>
  <c r="AL144" i="3" s="1"/>
  <c r="AL145" i="3" s="1"/>
  <c r="AL146" i="3" s="1"/>
  <c r="AL147" i="3" s="1"/>
  <c r="AL148" i="3" s="1"/>
  <c r="AL149" i="3" s="1"/>
  <c r="AL150" i="3" s="1"/>
  <c r="AL151" i="3" s="1"/>
  <c r="AL152" i="3" s="1"/>
  <c r="AL153" i="3" s="1"/>
  <c r="AL154" i="3" s="1"/>
  <c r="AL155" i="3" s="1"/>
  <c r="AL156" i="3" s="1"/>
  <c r="AL157" i="3" s="1"/>
  <c r="AL158" i="3" s="1"/>
  <c r="AL159" i="3" s="1"/>
  <c r="AL160" i="3" s="1"/>
  <c r="AL161" i="3" s="1"/>
  <c r="AL162" i="3" s="1"/>
  <c r="AL163" i="3" s="1"/>
  <c r="AL164" i="3" s="1"/>
  <c r="AL165" i="3" s="1"/>
  <c r="AL166" i="3" s="1"/>
  <c r="AL167" i="3" s="1"/>
  <c r="AL168" i="3" s="1"/>
  <c r="AL169" i="3" s="1"/>
  <c r="AL170" i="3" s="1"/>
  <c r="AL171" i="3" s="1"/>
  <c r="AL172" i="3" s="1"/>
  <c r="AL173" i="3" s="1"/>
  <c r="AL174" i="3" s="1"/>
  <c r="AL175" i="3" s="1"/>
  <c r="AL176" i="3" s="1"/>
  <c r="AL177" i="3" s="1"/>
  <c r="AL178" i="3" s="1"/>
  <c r="AL179" i="3" s="1"/>
  <c r="AL180" i="3" s="1"/>
  <c r="AL181" i="3" s="1"/>
  <c r="AL182" i="3" s="1"/>
  <c r="AL183" i="3" s="1"/>
  <c r="AL184" i="3" s="1"/>
  <c r="AL185" i="3" s="1"/>
  <c r="AL186" i="3" s="1"/>
  <c r="AL187" i="3" s="1"/>
  <c r="AL188" i="3" s="1"/>
  <c r="AL189" i="3" s="1"/>
  <c r="AL190" i="3" s="1"/>
  <c r="AL191" i="3" s="1"/>
  <c r="AL192" i="3" s="1"/>
  <c r="AL193" i="3" s="1"/>
  <c r="AL194" i="3" s="1"/>
  <c r="AL195" i="3" s="1"/>
  <c r="AL196" i="3" s="1"/>
  <c r="AL197" i="3" s="1"/>
  <c r="AL198" i="3" s="1"/>
  <c r="AL199" i="3" s="1"/>
  <c r="AL200" i="3" s="1"/>
  <c r="AL201" i="3" s="1"/>
  <c r="AL202" i="3" s="1"/>
  <c r="AL203" i="3" s="1"/>
  <c r="AL204" i="3" s="1"/>
  <c r="AL205" i="3" s="1"/>
  <c r="AL206" i="3" s="1"/>
  <c r="AL207" i="3" s="1"/>
  <c r="AL208" i="3" s="1"/>
  <c r="AL209" i="3" s="1"/>
  <c r="AL210" i="3" s="1"/>
  <c r="AL211" i="3" s="1"/>
  <c r="AL212" i="3" s="1"/>
  <c r="AL213" i="3" s="1"/>
  <c r="AL214" i="3" s="1"/>
  <c r="AL215" i="3" s="1"/>
  <c r="AL216" i="3" s="1"/>
  <c r="AL217" i="3" s="1"/>
  <c r="AL218" i="3" s="1"/>
  <c r="AL219" i="3" s="1"/>
  <c r="AL220" i="3" s="1"/>
  <c r="AL221" i="3" s="1"/>
  <c r="AL222" i="3" s="1"/>
  <c r="AL223" i="3" s="1"/>
  <c r="AL224" i="3" s="1"/>
  <c r="AL225" i="3" s="1"/>
  <c r="AL226" i="3" s="1"/>
  <c r="AL227" i="3" s="1"/>
  <c r="AL228" i="3" s="1"/>
  <c r="AL229" i="3" s="1"/>
  <c r="AL230" i="3" s="1"/>
  <c r="AL231" i="3" s="1"/>
  <c r="AL232" i="3" s="1"/>
  <c r="AL233" i="3" s="1"/>
  <c r="AL234" i="3" s="1"/>
  <c r="AL235" i="3" s="1"/>
  <c r="AL236" i="3" s="1"/>
  <c r="AL237" i="3" s="1"/>
  <c r="AL238" i="3" s="1"/>
  <c r="AL239" i="3" s="1"/>
  <c r="AL240" i="3" s="1"/>
  <c r="AL241" i="3" s="1"/>
  <c r="AL242" i="3" s="1"/>
  <c r="AL243" i="3" s="1"/>
  <c r="AL244" i="3" s="1"/>
  <c r="AL245" i="3" s="1"/>
  <c r="AL246" i="3" s="1"/>
  <c r="AL247" i="3" s="1"/>
  <c r="AL248" i="3" s="1"/>
  <c r="AL249" i="3" s="1"/>
  <c r="AL250" i="3" s="1"/>
  <c r="AL251" i="3" s="1"/>
  <c r="AL252" i="3" s="1"/>
  <c r="AL253" i="3" s="1"/>
  <c r="AL254" i="3" s="1"/>
  <c r="AL255" i="3" s="1"/>
  <c r="AL256" i="3" s="1"/>
  <c r="AL257" i="3" s="1"/>
  <c r="AL258" i="3" s="1"/>
  <c r="AL259" i="3" s="1"/>
  <c r="AL260" i="3" s="1"/>
  <c r="AL261" i="3" s="1"/>
  <c r="AL262" i="3" s="1"/>
  <c r="AL263" i="3" s="1"/>
  <c r="AL264" i="3" s="1"/>
  <c r="AL265" i="3" s="1"/>
  <c r="AL266" i="3" s="1"/>
  <c r="AL267" i="3" s="1"/>
  <c r="AL268" i="3" s="1"/>
  <c r="AL269" i="3" s="1"/>
  <c r="AL270" i="3" s="1"/>
  <c r="AL271" i="3" s="1"/>
  <c r="AL272" i="3" s="1"/>
  <c r="AL273" i="3" s="1"/>
  <c r="AL274" i="3" s="1"/>
  <c r="AL275" i="3" s="1"/>
  <c r="A7" i="4"/>
  <c r="A119" i="4"/>
  <c r="A43" i="4"/>
  <c r="A29" i="4"/>
  <c r="A133" i="4"/>
  <c r="A53" i="4"/>
  <c r="A154" i="4"/>
  <c r="A65" i="4"/>
  <c r="A78" i="4"/>
  <c r="A35" i="4"/>
  <c r="A20" i="4"/>
  <c r="A107" i="4"/>
  <c r="A19" i="4"/>
  <c r="A44" i="4"/>
  <c r="A135" i="4"/>
  <c r="A33" i="4"/>
  <c r="A41" i="4"/>
  <c r="A23" i="4"/>
  <c r="A69" i="4"/>
  <c r="A131" i="4"/>
  <c r="A56" i="4"/>
  <c r="A134" i="4"/>
  <c r="A98" i="4"/>
  <c r="A46" i="4"/>
  <c r="A25" i="4"/>
  <c r="A130" i="4"/>
  <c r="A38" i="4"/>
  <c r="A76" i="4"/>
  <c r="B171" i="5"/>
  <c r="B171" i="8"/>
  <c r="B52" i="8"/>
  <c r="B52" i="5"/>
  <c r="B136" i="5"/>
  <c r="B136" i="8"/>
  <c r="B150" i="8"/>
  <c r="B150" i="5"/>
  <c r="B156" i="8"/>
  <c r="B156" i="5"/>
  <c r="B75" i="8"/>
  <c r="B75" i="5"/>
  <c r="B77" i="5"/>
  <c r="B77" i="8"/>
  <c r="B82" i="5"/>
  <c r="B82" i="8"/>
  <c r="B110" i="8"/>
  <c r="B110" i="5"/>
  <c r="B40" i="5"/>
  <c r="B40" i="8"/>
  <c r="B174" i="8"/>
  <c r="B174" i="5"/>
  <c r="B53" i="5"/>
  <c r="B53" i="8"/>
  <c r="B176" i="8"/>
  <c r="B176" i="5"/>
  <c r="B119" i="8"/>
  <c r="B119" i="5"/>
  <c r="B92" i="8"/>
  <c r="B92" i="5"/>
  <c r="B121" i="8"/>
  <c r="B121" i="5"/>
  <c r="B118" i="5"/>
  <c r="B118" i="8"/>
  <c r="B191" i="8"/>
  <c r="B191" i="5"/>
  <c r="B96" i="5"/>
  <c r="B96" i="8"/>
  <c r="B116" i="5"/>
  <c r="B116" i="8"/>
  <c r="B42" i="8"/>
  <c r="B42" i="5"/>
  <c r="B55" i="8"/>
  <c r="B55" i="5"/>
  <c r="B152" i="8"/>
  <c r="B152" i="5"/>
  <c r="B49" i="8"/>
  <c r="B49" i="5"/>
  <c r="B172" i="8"/>
  <c r="B172" i="5"/>
  <c r="B74" i="8"/>
  <c r="B74" i="5"/>
  <c r="B65" i="5"/>
  <c r="B65" i="8"/>
  <c r="B63" i="8"/>
  <c r="B63" i="5"/>
  <c r="B146" i="8"/>
  <c r="B146" i="5"/>
  <c r="B127" i="5"/>
  <c r="B127" i="8"/>
  <c r="B148" i="8"/>
  <c r="B148" i="5"/>
  <c r="B157" i="8"/>
  <c r="B157" i="5"/>
  <c r="B68" i="5"/>
  <c r="B68" i="8"/>
  <c r="B179" i="5"/>
  <c r="B179" i="8"/>
  <c r="B117" i="8"/>
  <c r="B117" i="5"/>
  <c r="B48" i="5"/>
  <c r="B48" i="8"/>
  <c r="B114" i="8"/>
  <c r="B114" i="5"/>
  <c r="B133" i="8"/>
  <c r="B133" i="5"/>
  <c r="B149" i="5"/>
  <c r="B149" i="8"/>
  <c r="B185" i="8"/>
  <c r="B185" i="5"/>
  <c r="B186" i="8"/>
  <c r="B186" i="5"/>
  <c r="B129" i="8"/>
  <c r="B129" i="5"/>
  <c r="B108" i="8"/>
  <c r="B108" i="5"/>
  <c r="G112" i="5"/>
  <c r="K112" i="8"/>
  <c r="G188" i="5"/>
  <c r="K188" i="8"/>
  <c r="G167" i="5"/>
  <c r="K167" i="8"/>
  <c r="G181" i="5"/>
  <c r="K181" i="8"/>
  <c r="G151" i="5"/>
  <c r="K151" i="8"/>
  <c r="G127" i="5"/>
  <c r="K127" i="8"/>
  <c r="G113" i="5"/>
  <c r="K113" i="8"/>
  <c r="K42" i="8"/>
  <c r="G42" i="5"/>
  <c r="K96" i="8"/>
  <c r="G96" i="5"/>
  <c r="G166" i="5"/>
  <c r="K166" i="8"/>
  <c r="G59" i="5"/>
  <c r="K59" i="8"/>
  <c r="K58" i="8"/>
  <c r="G58" i="5"/>
  <c r="G64" i="5"/>
  <c r="K64" i="8"/>
  <c r="G153" i="5"/>
  <c r="K153" i="8"/>
  <c r="K91" i="8"/>
  <c r="G91" i="5"/>
  <c r="K83" i="8"/>
  <c r="G83" i="5"/>
  <c r="K160" i="8"/>
  <c r="G160" i="5"/>
  <c r="K157" i="8"/>
  <c r="G157" i="5"/>
  <c r="K168" i="8"/>
  <c r="G168" i="5"/>
  <c r="K60" i="8"/>
  <c r="G60" i="5"/>
  <c r="G120" i="5"/>
  <c r="K120" i="8"/>
  <c r="G88" i="5"/>
  <c r="K88" i="8"/>
  <c r="K175" i="8"/>
  <c r="G175" i="5"/>
  <c r="K50" i="8"/>
  <c r="G50" i="5"/>
  <c r="K49" i="8"/>
  <c r="G49" i="5"/>
  <c r="K114" i="8"/>
  <c r="G114" i="5"/>
  <c r="K130" i="8"/>
  <c r="G130" i="5"/>
  <c r="K186" i="8"/>
  <c r="G186" i="5"/>
  <c r="G156" i="5"/>
  <c r="K156" i="8"/>
  <c r="G105" i="5"/>
  <c r="K105" i="8"/>
  <c r="K93" i="8"/>
  <c r="G93" i="5"/>
  <c r="K136" i="8"/>
  <c r="G136" i="5"/>
  <c r="G45" i="5"/>
  <c r="K45" i="8"/>
  <c r="K124" i="8"/>
  <c r="G124" i="5"/>
  <c r="K94" i="8"/>
  <c r="G94" i="5"/>
  <c r="K142" i="8"/>
  <c r="G142" i="5"/>
  <c r="G102" i="5"/>
  <c r="K102" i="8"/>
  <c r="K100" i="8"/>
  <c r="G100" i="5"/>
  <c r="K90" i="8"/>
  <c r="G90" i="5"/>
  <c r="K185" i="8"/>
  <c r="G185" i="5"/>
  <c r="G68" i="5"/>
  <c r="K68" i="8"/>
  <c r="AA278" i="1"/>
  <c r="Y278" i="1"/>
  <c r="Y279" i="1" s="1"/>
  <c r="Y280" i="1" s="1"/>
  <c r="Z281" i="1"/>
  <c r="Z282" i="1" s="1"/>
  <c r="Z283" i="1" s="1"/>
  <c r="Z284" i="1" s="1"/>
  <c r="Z285" i="1" s="1"/>
  <c r="Z286" i="1" s="1"/>
  <c r="Z287" i="1" s="1"/>
  <c r="Z288" i="1" s="1"/>
  <c r="Z289" i="1" s="1"/>
  <c r="Z290" i="1" s="1"/>
  <c r="Z291" i="1" s="1"/>
  <c r="Z292" i="1" s="1"/>
  <c r="Z293" i="1" s="1"/>
  <c r="Z294" i="1" s="1"/>
  <c r="Z295" i="1" s="1"/>
  <c r="Z296" i="1" s="1"/>
  <c r="Z297" i="1" s="1"/>
  <c r="Z298" i="1" s="1"/>
  <c r="Z299" i="1" s="1"/>
  <c r="Z300" i="1" s="1"/>
  <c r="Z301" i="1" s="1"/>
  <c r="Z302" i="1" s="1"/>
  <c r="Z303" i="1" s="1"/>
  <c r="Z304" i="1" s="1"/>
  <c r="Z305" i="1" s="1"/>
  <c r="Z306" i="1" s="1"/>
  <c r="Z307" i="1" s="1"/>
  <c r="Z308" i="1" s="1"/>
  <c r="Z309" i="1" s="1"/>
  <c r="Z310" i="1" s="1"/>
  <c r="Z311" i="1" s="1"/>
  <c r="Z312" i="1" s="1"/>
  <c r="Z313" i="1" s="1"/>
  <c r="Z314" i="1" s="1"/>
  <c r="Z315" i="1" s="1"/>
  <c r="Z316" i="1" s="1"/>
  <c r="Z317" i="1" s="1"/>
  <c r="Z318" i="1" s="1"/>
  <c r="Z319" i="1" s="1"/>
  <c r="Z320" i="1" s="1"/>
  <c r="Z321" i="1" s="1"/>
  <c r="Z322" i="1" s="1"/>
  <c r="Z323" i="1" s="1"/>
  <c r="Z324" i="1" s="1"/>
  <c r="Z325" i="1" s="1"/>
  <c r="Z326" i="1" s="1"/>
  <c r="Z327" i="1" s="1"/>
  <c r="Z328" i="1" s="1"/>
  <c r="Z329" i="1" s="1"/>
  <c r="Z330" i="1" s="1"/>
  <c r="Z331" i="1" s="1"/>
  <c r="Z332" i="1" s="1"/>
  <c r="Z333" i="1" s="1"/>
  <c r="Z334" i="1" s="1"/>
  <c r="Z335" i="1" s="1"/>
  <c r="Z336" i="1" s="1"/>
  <c r="Z337" i="1" s="1"/>
  <c r="Z338" i="1" s="1"/>
  <c r="Z339" i="1" s="1"/>
  <c r="Z340" i="1" s="1"/>
  <c r="Z341" i="1" s="1"/>
  <c r="Z342" i="1" s="1"/>
  <c r="Z343" i="1" s="1"/>
  <c r="Z344" i="1" s="1"/>
  <c r="Z345" i="1" s="1"/>
  <c r="Z346" i="1" s="1"/>
  <c r="Z347" i="1" s="1"/>
  <c r="Z348" i="1" s="1"/>
  <c r="Z349" i="1" s="1"/>
  <c r="Z350" i="1" s="1"/>
  <c r="Z351" i="1" s="1"/>
  <c r="Z352" i="1" s="1"/>
  <c r="Z353" i="1" s="1"/>
  <c r="Z354" i="1" s="1"/>
  <c r="Z355" i="1" s="1"/>
  <c r="Z356" i="1" s="1"/>
  <c r="Z357" i="1" s="1"/>
  <c r="Z358" i="1" s="1"/>
  <c r="Z359" i="1" s="1"/>
  <c r="Z360" i="1" s="1"/>
  <c r="Z361" i="1" s="1"/>
  <c r="Z362" i="1" s="1"/>
  <c r="Z363" i="1" s="1"/>
  <c r="Z364" i="1" s="1"/>
  <c r="Z365" i="1" s="1"/>
  <c r="Z366" i="1" s="1"/>
  <c r="Z367" i="1" s="1"/>
  <c r="Z368" i="1" s="1"/>
  <c r="Z369" i="1" s="1"/>
  <c r="Z370" i="1" s="1"/>
  <c r="Z371" i="1" s="1"/>
  <c r="Z372" i="1" s="1"/>
  <c r="Z373" i="1" s="1"/>
  <c r="Z374" i="1" s="1"/>
  <c r="Z375" i="1" s="1"/>
  <c r="Z376" i="1" s="1"/>
  <c r="Z377" i="1" s="1"/>
  <c r="Z378" i="1" s="1"/>
  <c r="Z379" i="1" s="1"/>
  <c r="Z380" i="1" s="1"/>
  <c r="Z381" i="1" s="1"/>
  <c r="Z382" i="1" s="1"/>
  <c r="Z383" i="1" s="1"/>
  <c r="Z384" i="1" s="1"/>
  <c r="Z385" i="1" s="1"/>
  <c r="Z386" i="1" s="1"/>
  <c r="Z387" i="1" s="1"/>
  <c r="Z388" i="1" s="1"/>
  <c r="Z389" i="1" s="1"/>
  <c r="Z390" i="1" s="1"/>
  <c r="Z391" i="1" s="1"/>
  <c r="Z392" i="1" s="1"/>
  <c r="Z393" i="1" s="1"/>
  <c r="Z394" i="1" s="1"/>
  <c r="Z395" i="1" s="1"/>
  <c r="Z396" i="1" s="1"/>
  <c r="Z397" i="1" s="1"/>
  <c r="Z398" i="1" s="1"/>
  <c r="Z399" i="1" s="1"/>
  <c r="Z400" i="1" s="1"/>
  <c r="Z401" i="1" s="1"/>
  <c r="Z402" i="1" s="1"/>
  <c r="Z403" i="1" s="1"/>
  <c r="Z404" i="1" s="1"/>
  <c r="Z405" i="1" s="1"/>
  <c r="Z406" i="1" s="1"/>
  <c r="Z407" i="1" s="1"/>
  <c r="Z408" i="1" s="1"/>
  <c r="Z409" i="1" s="1"/>
  <c r="Z410" i="1" s="1"/>
  <c r="Z411" i="1" s="1"/>
  <c r="Z412" i="1" s="1"/>
  <c r="Z413" i="1" s="1"/>
  <c r="Z414" i="1" s="1"/>
  <c r="Z415" i="1" s="1"/>
  <c r="Z416" i="1" s="1"/>
  <c r="Z417" i="1" s="1"/>
  <c r="Z418" i="1" s="1"/>
  <c r="Z419" i="1" s="1"/>
  <c r="Z420" i="1" s="1"/>
  <c r="Z421" i="1" s="1"/>
  <c r="Z422" i="1" s="1"/>
  <c r="Z423" i="1" s="1"/>
  <c r="Z424" i="1" s="1"/>
  <c r="Z425" i="1" s="1"/>
  <c r="Z426" i="1" s="1"/>
  <c r="Z427" i="1" s="1"/>
  <c r="Z428" i="1" s="1"/>
  <c r="Z429" i="1" s="1"/>
  <c r="Z430" i="1" s="1"/>
  <c r="Z431" i="1" s="1"/>
  <c r="Z432" i="1" s="1"/>
  <c r="Z433" i="1" s="1"/>
  <c r="Z434" i="1" s="1"/>
  <c r="Z435" i="1" s="1"/>
  <c r="Z436" i="1" s="1"/>
  <c r="Z437" i="1" s="1"/>
  <c r="Z438" i="1" s="1"/>
  <c r="Z439" i="1" s="1"/>
  <c r="Z440" i="1" s="1"/>
  <c r="Z441" i="1" s="1"/>
  <c r="Z442" i="1" s="1"/>
  <c r="Z443" i="1" s="1"/>
  <c r="Z444" i="1" s="1"/>
  <c r="Z445" i="1" s="1"/>
  <c r="Z446" i="1" s="1"/>
  <c r="Z447" i="1" s="1"/>
  <c r="Z448" i="1" s="1"/>
  <c r="Z449" i="1" s="1"/>
  <c r="Z450" i="1" s="1"/>
  <c r="Z451" i="1" s="1"/>
  <c r="Z452" i="1" s="1"/>
  <c r="Z453" i="1" s="1"/>
  <c r="Z454" i="1" s="1"/>
  <c r="Z455" i="1" s="1"/>
  <c r="Z456" i="1" s="1"/>
  <c r="Z457" i="1" s="1"/>
  <c r="Z458" i="1" s="1"/>
  <c r="Z459" i="1" s="1"/>
  <c r="Z460" i="1" s="1"/>
  <c r="Z461" i="1" s="1"/>
  <c r="Z462" i="1" s="1"/>
  <c r="Z463" i="1" s="1"/>
  <c r="Z464" i="1" s="1"/>
  <c r="Z465" i="1" s="1"/>
  <c r="Z466" i="1" s="1"/>
  <c r="Z467" i="1" s="1"/>
  <c r="Z468" i="1" s="1"/>
  <c r="Z469" i="1" s="1"/>
  <c r="Z470" i="1" s="1"/>
  <c r="Z471" i="1" s="1"/>
  <c r="Z472" i="1" s="1"/>
  <c r="Z473" i="1" s="1"/>
  <c r="Z474" i="1" s="1"/>
  <c r="Z475" i="1" s="1"/>
  <c r="Z476" i="1" s="1"/>
  <c r="Z477" i="1" s="1"/>
  <c r="Z478" i="1" s="1"/>
  <c r="Z479" i="1" s="1"/>
  <c r="Z480" i="1" s="1"/>
  <c r="Z481" i="1" s="1"/>
  <c r="Z482" i="1" s="1"/>
  <c r="Z483" i="1" s="1"/>
  <c r="Z484" i="1" s="1"/>
  <c r="Z485" i="1" s="1"/>
  <c r="Z486" i="1" s="1"/>
  <c r="Z487" i="1" s="1"/>
  <c r="Z488" i="1" s="1"/>
  <c r="Z489" i="1" s="1"/>
  <c r="Z490" i="1" s="1"/>
  <c r="Z491" i="1" s="1"/>
  <c r="Z492" i="1" s="1"/>
  <c r="Z493" i="1" s="1"/>
  <c r="Z494" i="1" s="1"/>
  <c r="Z495" i="1" s="1"/>
  <c r="Z496" i="1" s="1"/>
  <c r="Z497" i="1" s="1"/>
  <c r="Z498" i="1" s="1"/>
  <c r="Z499" i="1" s="1"/>
  <c r="Z500" i="1" s="1"/>
  <c r="Z501" i="1" s="1"/>
  <c r="Z502" i="1" s="1"/>
  <c r="Z503" i="1" s="1"/>
  <c r="Z504" i="1" s="1"/>
  <c r="Z505" i="1" s="1"/>
  <c r="Z506" i="1" s="1"/>
  <c r="Z507" i="1" s="1"/>
  <c r="Z508" i="1" s="1"/>
  <c r="Z509" i="1" s="1"/>
  <c r="Z510" i="1" s="1"/>
  <c r="Z511" i="1" s="1"/>
  <c r="Z512" i="1" s="1"/>
  <c r="Z513" i="1" s="1"/>
  <c r="Z514" i="1" s="1"/>
  <c r="Z515" i="1" s="1"/>
  <c r="Z516" i="1" s="1"/>
  <c r="Z517" i="1" s="1"/>
  <c r="Z518" i="1" s="1"/>
  <c r="Z519" i="1" s="1"/>
  <c r="Z520" i="1" s="1"/>
  <c r="Z521" i="1" s="1"/>
  <c r="Z522" i="1" s="1"/>
  <c r="Z523" i="1" s="1"/>
  <c r="Z524" i="1" s="1"/>
  <c r="Z525" i="1" s="1"/>
  <c r="Z526" i="1" s="1"/>
  <c r="Z527" i="1" s="1"/>
  <c r="Z528" i="1" s="1"/>
  <c r="Z529" i="1" s="1"/>
  <c r="Z530" i="1" s="1"/>
  <c r="Z531" i="1" s="1"/>
  <c r="Z532" i="1" s="1"/>
  <c r="Z533" i="1" s="1"/>
  <c r="Z534" i="1" s="1"/>
  <c r="Z535" i="1" s="1"/>
  <c r="Z536" i="1" s="1"/>
  <c r="Z537" i="1" s="1"/>
  <c r="Z538" i="1" s="1"/>
  <c r="Z539" i="1" s="1"/>
  <c r="Z540" i="1" s="1"/>
  <c r="Z541" i="1" s="1"/>
  <c r="Z542" i="1" s="1"/>
  <c r="Z543" i="1" s="1"/>
  <c r="Z544" i="1" s="1"/>
  <c r="Z545" i="1" s="1"/>
  <c r="Z546" i="1" s="1"/>
  <c r="Z547" i="1" s="1"/>
  <c r="Z548" i="1" s="1"/>
  <c r="Z549" i="1" s="1"/>
  <c r="Z550" i="1" s="1"/>
  <c r="Z551" i="1" s="1"/>
  <c r="AE7" i="3"/>
  <c r="AE8" i="3"/>
  <c r="AE21" i="3"/>
  <c r="AE34" i="3"/>
  <c r="A126" i="4"/>
  <c r="A61" i="4"/>
  <c r="A115" i="4"/>
  <c r="A117" i="4"/>
  <c r="A156" i="4"/>
  <c r="A52" i="4"/>
  <c r="A132" i="4"/>
  <c r="A110" i="4"/>
  <c r="A112" i="4"/>
  <c r="A118" i="4"/>
  <c r="A50" i="4"/>
  <c r="A55" i="4"/>
  <c r="A153" i="4"/>
  <c r="A21" i="4"/>
  <c r="A12" i="4"/>
  <c r="A152" i="4"/>
  <c r="A9" i="4"/>
  <c r="A141" i="4"/>
  <c r="A45" i="4"/>
  <c r="A149" i="4"/>
  <c r="A103" i="4"/>
  <c r="A97" i="4"/>
  <c r="A13" i="4"/>
  <c r="A124" i="4"/>
  <c r="A73" i="4"/>
  <c r="A32" i="4"/>
  <c r="A100" i="4"/>
  <c r="A128" i="4"/>
  <c r="A14" i="4"/>
  <c r="A17" i="4"/>
  <c r="B137" i="5"/>
  <c r="B137" i="8"/>
  <c r="B98" i="8"/>
  <c r="B98" i="5"/>
  <c r="B71" i="5"/>
  <c r="B71" i="8"/>
  <c r="B57" i="5"/>
  <c r="B57" i="8"/>
  <c r="B132" i="5"/>
  <c r="B132" i="8"/>
  <c r="B160" i="8"/>
  <c r="B160" i="5"/>
  <c r="B60" i="8"/>
  <c r="B60" i="5"/>
  <c r="B51" i="5"/>
  <c r="B51" i="8"/>
  <c r="B155" i="8"/>
  <c r="B155" i="5"/>
  <c r="B115" i="5"/>
  <c r="B115" i="8"/>
  <c r="B120" i="5"/>
  <c r="B120" i="8"/>
  <c r="B183" i="5"/>
  <c r="B183" i="8"/>
  <c r="B37" i="8"/>
  <c r="B37" i="5"/>
  <c r="W38" i="3"/>
  <c r="B162" i="8"/>
  <c r="B162" i="5"/>
  <c r="B180" i="5"/>
  <c r="B180" i="8"/>
  <c r="B89" i="8"/>
  <c r="B89" i="5"/>
  <c r="B138" i="8"/>
  <c r="B138" i="5"/>
  <c r="B167" i="8"/>
  <c r="B167" i="5"/>
  <c r="B124" i="8"/>
  <c r="B124" i="5"/>
  <c r="B166" i="8"/>
  <c r="B166" i="5"/>
  <c r="B79" i="5"/>
  <c r="B79" i="8"/>
  <c r="B184" i="8"/>
  <c r="B184" i="5"/>
  <c r="B165" i="5"/>
  <c r="B165" i="8"/>
  <c r="B113" i="5"/>
  <c r="B113" i="8"/>
  <c r="B50" i="5"/>
  <c r="B50" i="8"/>
  <c r="B125" i="5"/>
  <c r="B125" i="8"/>
  <c r="B66" i="8"/>
  <c r="B66" i="5"/>
  <c r="B193" i="8"/>
  <c r="B193" i="5"/>
  <c r="B39" i="8"/>
  <c r="B39" i="5"/>
  <c r="B192" i="8"/>
  <c r="B192" i="5"/>
  <c r="B151" i="8"/>
  <c r="B151" i="5"/>
  <c r="B56" i="5"/>
  <c r="B56" i="8"/>
  <c r="B158" i="5"/>
  <c r="B158" i="8"/>
  <c r="B145" i="8"/>
  <c r="B145" i="5"/>
  <c r="K129" i="8"/>
  <c r="G129" i="5"/>
  <c r="G182" i="5"/>
  <c r="K182" i="8"/>
  <c r="K65" i="8"/>
  <c r="G65" i="5"/>
  <c r="K84" i="8"/>
  <c r="G84" i="5"/>
  <c r="K148" i="8"/>
  <c r="G148" i="5"/>
  <c r="K169" i="8"/>
  <c r="G169" i="5"/>
  <c r="K132" i="8"/>
  <c r="G132" i="5"/>
  <c r="G121" i="5"/>
  <c r="K121" i="8"/>
  <c r="K162" i="8"/>
  <c r="G162" i="5"/>
  <c r="K67" i="8"/>
  <c r="G67" i="5"/>
  <c r="G63" i="5"/>
  <c r="K63" i="8"/>
  <c r="G170" i="5"/>
  <c r="K170" i="8"/>
  <c r="G172" i="5"/>
  <c r="K172" i="8"/>
  <c r="K179" i="8"/>
  <c r="G179" i="5"/>
  <c r="K43" i="8"/>
  <c r="G43" i="5"/>
  <c r="G51" i="5"/>
  <c r="K51" i="8"/>
  <c r="G75" i="5"/>
  <c r="K75" i="8"/>
  <c r="K39" i="8"/>
  <c r="G39" i="5"/>
  <c r="G134" i="5"/>
  <c r="K134" i="8"/>
  <c r="G97" i="5"/>
  <c r="K97" i="8"/>
  <c r="K52" i="8"/>
  <c r="G52" i="5"/>
  <c r="G110" i="5"/>
  <c r="K110" i="8"/>
  <c r="K131" i="8"/>
  <c r="G131" i="5"/>
  <c r="G73" i="5"/>
  <c r="K73" i="8"/>
  <c r="K118" i="8"/>
  <c r="G118" i="5"/>
  <c r="G184" i="5"/>
  <c r="K184" i="8"/>
  <c r="G53" i="5"/>
  <c r="K53" i="8"/>
  <c r="G82" i="5"/>
  <c r="K82" i="8"/>
  <c r="K79" i="8"/>
  <c r="G79" i="5"/>
  <c r="G71" i="5"/>
  <c r="K71" i="8"/>
  <c r="G104" i="5"/>
  <c r="K104" i="8"/>
  <c r="G173" i="5"/>
  <c r="K173" i="8"/>
  <c r="G190" i="5"/>
  <c r="K190" i="8"/>
  <c r="K99" i="8"/>
  <c r="G99" i="5"/>
  <c r="G171" i="5"/>
  <c r="K171" i="8"/>
  <c r="K177" i="8"/>
  <c r="G177" i="5"/>
  <c r="G87" i="5"/>
  <c r="K87" i="8"/>
  <c r="G108" i="5"/>
  <c r="K108" i="8"/>
  <c r="K135" i="8"/>
  <c r="G135" i="5"/>
  <c r="K41" i="8"/>
  <c r="G41" i="5"/>
  <c r="G128" i="5"/>
  <c r="K128" i="8"/>
  <c r="G126" i="5"/>
  <c r="K126" i="8"/>
  <c r="G116" i="5"/>
  <c r="K116" i="8"/>
  <c r="G76" i="5"/>
  <c r="K76" i="8"/>
  <c r="G80" i="5"/>
  <c r="K80" i="8"/>
  <c r="G56" i="5"/>
  <c r="K56" i="8"/>
  <c r="K61" i="8"/>
  <c r="G61" i="5"/>
  <c r="G98" i="5"/>
  <c r="K98" i="8"/>
  <c r="AA1" i="3"/>
  <c r="AA2" i="3" s="1"/>
  <c r="Q279" i="3"/>
  <c r="AA3" i="3"/>
  <c r="AA4" i="3" s="1"/>
  <c r="Y38" i="3" l="1"/>
  <c r="W39" i="3"/>
  <c r="W40" i="3" s="1"/>
  <c r="AV83" i="3"/>
  <c r="G82" i="4" s="1"/>
  <c r="AV105" i="3"/>
  <c r="G104" i="4" s="1"/>
  <c r="AV124" i="3"/>
  <c r="G123" i="4" s="1"/>
  <c r="AV151" i="3"/>
  <c r="G150" i="4" s="1"/>
  <c r="AV18" i="3"/>
  <c r="G17" i="4" s="1"/>
  <c r="AV117" i="3"/>
  <c r="G116" i="4" s="1"/>
  <c r="AV221" i="3"/>
  <c r="AV258" i="3"/>
  <c r="AV188" i="3"/>
  <c r="AV261" i="3"/>
  <c r="AV130" i="3"/>
  <c r="G129" i="4" s="1"/>
  <c r="AV62" i="3"/>
  <c r="G61" i="4" s="1"/>
  <c r="AV275" i="3"/>
  <c r="AV37" i="3"/>
  <c r="G36" i="4" s="1"/>
  <c r="AV111" i="3"/>
  <c r="G110" i="4" s="1"/>
  <c r="AV122" i="3"/>
  <c r="G121" i="4" s="1"/>
  <c r="AV178" i="3"/>
  <c r="AV209" i="3"/>
  <c r="AV273" i="3"/>
  <c r="AV34" i="3"/>
  <c r="G33" i="4" s="1"/>
  <c r="AV20" i="3"/>
  <c r="G19" i="4" s="1"/>
  <c r="AV49" i="3"/>
  <c r="G48" i="4" s="1"/>
  <c r="AV156" i="3"/>
  <c r="G155" i="4" s="1"/>
  <c r="AV250" i="3"/>
  <c r="AV220" i="3"/>
  <c r="AV152" i="3"/>
  <c r="G151" i="4" s="1"/>
  <c r="AV22" i="3"/>
  <c r="G21" i="4" s="1"/>
  <c r="AV254" i="3"/>
  <c r="AV186" i="3"/>
  <c r="AV268" i="3"/>
  <c r="AV100" i="3"/>
  <c r="G99" i="4" s="1"/>
  <c r="AV190" i="3"/>
  <c r="AV155" i="3"/>
  <c r="G154" i="4" s="1"/>
  <c r="AV142" i="3"/>
  <c r="G141" i="4" s="1"/>
  <c r="AV260" i="3"/>
  <c r="AV265" i="3"/>
  <c r="AV82" i="3"/>
  <c r="G81" i="4" s="1"/>
  <c r="AV24" i="3"/>
  <c r="G23" i="4" s="1"/>
  <c r="AV272" i="3"/>
  <c r="AV140" i="3"/>
  <c r="G139" i="4" s="1"/>
  <c r="AV195" i="3"/>
  <c r="AV36" i="3"/>
  <c r="G35" i="4" s="1"/>
  <c r="AV256" i="3"/>
  <c r="AV44" i="3"/>
  <c r="G43" i="4" s="1"/>
  <c r="AV189" i="3"/>
  <c r="AV241" i="3"/>
  <c r="AV119" i="3"/>
  <c r="G118" i="4" s="1"/>
  <c r="AV46" i="3"/>
  <c r="G45" i="4" s="1"/>
  <c r="AV200" i="3"/>
  <c r="AV227" i="3"/>
  <c r="AV91" i="3"/>
  <c r="G90" i="4" s="1"/>
  <c r="AV73" i="3"/>
  <c r="G72" i="4" s="1"/>
  <c r="AV269" i="3"/>
  <c r="AV191" i="3"/>
  <c r="AV92" i="3"/>
  <c r="G91" i="4" s="1"/>
  <c r="AV217" i="3"/>
  <c r="AV125" i="3"/>
  <c r="G124" i="4" s="1"/>
  <c r="AV222" i="3"/>
  <c r="AV174" i="3"/>
  <c r="AV249" i="3"/>
  <c r="AV85" i="3"/>
  <c r="G84" i="4" s="1"/>
  <c r="AV108" i="3"/>
  <c r="G107" i="4" s="1"/>
  <c r="AV196" i="3"/>
  <c r="AV121" i="3"/>
  <c r="G120" i="4" s="1"/>
  <c r="AV223" i="3"/>
  <c r="AW3" i="3"/>
  <c r="AV23" i="3"/>
  <c r="G22" i="4" s="1"/>
  <c r="AV243" i="3"/>
  <c r="AV147" i="3"/>
  <c r="G146" i="4" s="1"/>
  <c r="AV87" i="3"/>
  <c r="G86" i="4" s="1"/>
  <c r="AV148" i="3"/>
  <c r="G147" i="4" s="1"/>
  <c r="AV149" i="3"/>
  <c r="G148" i="4" s="1"/>
  <c r="AV143" i="3"/>
  <c r="G142" i="4" s="1"/>
  <c r="AV128" i="3"/>
  <c r="G127" i="4" s="1"/>
  <c r="AV240" i="3"/>
  <c r="AV175" i="3"/>
  <c r="AV257" i="3"/>
  <c r="AV95" i="3"/>
  <c r="G94" i="4" s="1"/>
  <c r="AV120" i="3"/>
  <c r="G119" i="4" s="1"/>
  <c r="AV153" i="3"/>
  <c r="G152" i="4" s="1"/>
  <c r="AV242" i="3"/>
  <c r="AV65" i="3"/>
  <c r="G64" i="4" s="1"/>
  <c r="AV167" i="3"/>
  <c r="AV165" i="3"/>
  <c r="AV159" i="3"/>
  <c r="G158" i="4" s="1"/>
  <c r="AV181" i="3"/>
  <c r="AV177" i="3"/>
  <c r="AV47" i="3"/>
  <c r="G46" i="4" s="1"/>
  <c r="AV145" i="3"/>
  <c r="G144" i="4" s="1"/>
  <c r="AV93" i="3"/>
  <c r="G92" i="4" s="1"/>
  <c r="AV98" i="3"/>
  <c r="G97" i="4" s="1"/>
  <c r="AV136" i="3"/>
  <c r="G135" i="4" s="1"/>
  <c r="AV201" i="3"/>
  <c r="AV48" i="3"/>
  <c r="G47" i="4" s="1"/>
  <c r="AV60" i="3"/>
  <c r="G59" i="4" s="1"/>
  <c r="AV259" i="3"/>
  <c r="AV64" i="3"/>
  <c r="G63" i="4" s="1"/>
  <c r="AV110" i="3"/>
  <c r="G109" i="4" s="1"/>
  <c r="AV56" i="3"/>
  <c r="G55" i="4" s="1"/>
  <c r="AV127" i="3"/>
  <c r="G126" i="4" s="1"/>
  <c r="AV216" i="3"/>
  <c r="AV184" i="3"/>
  <c r="AV89" i="3"/>
  <c r="G88" i="4" s="1"/>
  <c r="AV103" i="3"/>
  <c r="G102" i="4" s="1"/>
  <c r="AV53" i="3"/>
  <c r="G52" i="4" s="1"/>
  <c r="AV57" i="3"/>
  <c r="G56" i="4" s="1"/>
  <c r="AV29" i="3"/>
  <c r="G28" i="4" s="1"/>
  <c r="AV187" i="3"/>
  <c r="AV132" i="3"/>
  <c r="G131" i="4" s="1"/>
  <c r="AV271" i="3"/>
  <c r="AV247" i="3"/>
  <c r="AV118" i="3"/>
  <c r="G117" i="4" s="1"/>
  <c r="AV234" i="3"/>
  <c r="AV218" i="3"/>
  <c r="AV72" i="3"/>
  <c r="G71" i="4" s="1"/>
  <c r="AV164" i="3"/>
  <c r="AV90" i="3"/>
  <c r="G89" i="4" s="1"/>
  <c r="AV235" i="3"/>
  <c r="AV97" i="3"/>
  <c r="G96" i="4" s="1"/>
  <c r="AV67" i="3"/>
  <c r="G66" i="4" s="1"/>
  <c r="AV86" i="3"/>
  <c r="G85" i="4" s="1"/>
  <c r="AV212" i="3"/>
  <c r="AV194" i="3"/>
  <c r="AV58" i="3"/>
  <c r="G57" i="4" s="1"/>
  <c r="AV230" i="3"/>
  <c r="AV70" i="3"/>
  <c r="G69" i="4" s="1"/>
  <c r="AV193" i="3"/>
  <c r="AV39" i="3"/>
  <c r="G38" i="4" s="1"/>
  <c r="AV41" i="3"/>
  <c r="G40" i="4" s="1"/>
  <c r="AV101" i="3"/>
  <c r="G100" i="4" s="1"/>
  <c r="AV204" i="3"/>
  <c r="P279" i="3"/>
  <c r="AV192" i="3"/>
  <c r="AV94" i="3"/>
  <c r="G93" i="4" s="1"/>
  <c r="AV252" i="3"/>
  <c r="AV173" i="3"/>
  <c r="AV160" i="3"/>
  <c r="G159" i="4" s="1"/>
  <c r="AV202" i="3"/>
  <c r="AV232" i="3"/>
  <c r="AV123" i="3"/>
  <c r="G122" i="4" s="1"/>
  <c r="AV158" i="3"/>
  <c r="G157" i="4" s="1"/>
  <c r="AV168" i="3"/>
  <c r="AV210" i="3"/>
  <c r="AV213" i="3"/>
  <c r="AV166" i="3"/>
  <c r="AV31" i="3"/>
  <c r="G30" i="4" s="1"/>
  <c r="AV226" i="3"/>
  <c r="AV224" i="3"/>
  <c r="AV251" i="3"/>
  <c r="AV28" i="3"/>
  <c r="G27" i="4" s="1"/>
  <c r="AV74" i="3"/>
  <c r="G73" i="4" s="1"/>
  <c r="AV27" i="3"/>
  <c r="G26" i="4" s="1"/>
  <c r="AV238" i="3"/>
  <c r="AV17" i="3"/>
  <c r="G16" i="4" s="1"/>
  <c r="AV205" i="3"/>
  <c r="AV237" i="3"/>
  <c r="AV231" i="3"/>
  <c r="AV163" i="3"/>
  <c r="AV264" i="3"/>
  <c r="AV21" i="3"/>
  <c r="G20" i="4" s="1"/>
  <c r="AV42" i="3"/>
  <c r="G41" i="4" s="1"/>
  <c r="AV69" i="3"/>
  <c r="G68" i="4" s="1"/>
  <c r="AV245" i="3"/>
  <c r="AV107" i="3"/>
  <c r="G106" i="4" s="1"/>
  <c r="AV172" i="3"/>
  <c r="AV138" i="3"/>
  <c r="G137" i="4" s="1"/>
  <c r="AV246" i="3"/>
  <c r="AV150" i="3"/>
  <c r="G149" i="4" s="1"/>
  <c r="AV137" i="3"/>
  <c r="G136" i="4" s="1"/>
  <c r="AV248" i="3"/>
  <c r="AV141" i="3"/>
  <c r="G140" i="4" s="1"/>
  <c r="AV144" i="3"/>
  <c r="G143" i="4" s="1"/>
  <c r="AV96" i="3"/>
  <c r="G95" i="4" s="1"/>
  <c r="AV225" i="3"/>
  <c r="AV274" i="3"/>
  <c r="AV35" i="3"/>
  <c r="G34" i="4" s="1"/>
  <c r="AV135" i="3"/>
  <c r="G134" i="4" s="1"/>
  <c r="AV112" i="3"/>
  <c r="G111" i="4" s="1"/>
  <c r="AV180" i="3"/>
  <c r="AV134" i="3"/>
  <c r="G133" i="4" s="1"/>
  <c r="AV81" i="3"/>
  <c r="G80" i="4" s="1"/>
  <c r="AV203" i="3"/>
  <c r="AV80" i="3"/>
  <c r="G79" i="4" s="1"/>
  <c r="AV30" i="3"/>
  <c r="G29" i="4" s="1"/>
  <c r="AV197" i="3"/>
  <c r="AV266" i="3"/>
  <c r="AV52" i="3"/>
  <c r="G51" i="4" s="1"/>
  <c r="AV45" i="3"/>
  <c r="G44" i="4" s="1"/>
  <c r="AV113" i="3"/>
  <c r="G112" i="4" s="1"/>
  <c r="AV77" i="3"/>
  <c r="G76" i="4" s="1"/>
  <c r="AV157" i="3"/>
  <c r="G156" i="4" s="1"/>
  <c r="AV208" i="3"/>
  <c r="AV161" i="3"/>
  <c r="G160" i="4" s="1"/>
  <c r="AV183" i="3"/>
  <c r="AV19" i="3"/>
  <c r="G18" i="4" s="1"/>
  <c r="AV43" i="3"/>
  <c r="G42" i="4" s="1"/>
  <c r="AV169" i="3"/>
  <c r="AW1" i="3"/>
  <c r="AO2" i="3" s="1"/>
  <c r="AV131" i="3"/>
  <c r="G130" i="4" s="1"/>
  <c r="AV50" i="3"/>
  <c r="G49" i="4" s="1"/>
  <c r="AV16" i="3"/>
  <c r="G15" i="4" s="1"/>
  <c r="AV59" i="3"/>
  <c r="G58" i="4" s="1"/>
  <c r="AV25" i="3"/>
  <c r="G24" i="4" s="1"/>
  <c r="AV104" i="3"/>
  <c r="G103" i="4" s="1"/>
  <c r="AV51" i="3"/>
  <c r="G50" i="4" s="1"/>
  <c r="AV198" i="3"/>
  <c r="AV146" i="3"/>
  <c r="G145" i="4" s="1"/>
  <c r="AV116" i="3"/>
  <c r="G115" i="4" s="1"/>
  <c r="AV38" i="3"/>
  <c r="G37" i="4" s="1"/>
  <c r="AV253" i="3"/>
  <c r="AV32" i="3"/>
  <c r="G31" i="4" s="1"/>
  <c r="AV71" i="3"/>
  <c r="G70" i="4" s="1"/>
  <c r="AV109" i="3"/>
  <c r="G108" i="4" s="1"/>
  <c r="AV162" i="3"/>
  <c r="AV182" i="3"/>
  <c r="AV229" i="3"/>
  <c r="AV55" i="3"/>
  <c r="G54" i="4" s="1"/>
  <c r="AV66" i="3"/>
  <c r="G65" i="4" s="1"/>
  <c r="AV63" i="3"/>
  <c r="G62" i="4" s="1"/>
  <c r="AV76" i="3"/>
  <c r="G75" i="4" s="1"/>
  <c r="AV233" i="3"/>
  <c r="AV179" i="3"/>
  <c r="AV263" i="3"/>
  <c r="AV171" i="3"/>
  <c r="AV133" i="3"/>
  <c r="G132" i="4" s="1"/>
  <c r="AV211" i="3"/>
  <c r="AV185" i="3"/>
  <c r="AV68" i="3"/>
  <c r="G67" i="4" s="1"/>
  <c r="AV106" i="3"/>
  <c r="G105" i="4" s="1"/>
  <c r="AV61" i="3"/>
  <c r="G60" i="4" s="1"/>
  <c r="AV33" i="3"/>
  <c r="G32" i="4" s="1"/>
  <c r="AV102" i="3"/>
  <c r="G101" i="4" s="1"/>
  <c r="AV78" i="3"/>
  <c r="G77" i="4" s="1"/>
  <c r="AV40" i="3"/>
  <c r="G39" i="4" s="1"/>
  <c r="AV270" i="3"/>
  <c r="AV219" i="3"/>
  <c r="AV262" i="3"/>
  <c r="AV267" i="3"/>
  <c r="AV215" i="3"/>
  <c r="AV214" i="3"/>
  <c r="AV88" i="3"/>
  <c r="G87" i="4" s="1"/>
  <c r="AV79" i="3"/>
  <c r="G78" i="4" s="1"/>
  <c r="AV176" i="3"/>
  <c r="AV26" i="3"/>
  <c r="G25" i="4" s="1"/>
  <c r="AV170" i="3"/>
  <c r="AV75" i="3"/>
  <c r="G74" i="4" s="1"/>
  <c r="AV114" i="3"/>
  <c r="G113" i="4" s="1"/>
  <c r="AV54" i="3"/>
  <c r="G53" i="4" s="1"/>
  <c r="AV129" i="3"/>
  <c r="G128" i="4" s="1"/>
  <c r="AV255" i="3"/>
  <c r="AV206" i="3"/>
  <c r="AV199" i="3"/>
  <c r="AV126" i="3"/>
  <c r="G125" i="4" s="1"/>
  <c r="AV99" i="3"/>
  <c r="G98" i="4" s="1"/>
  <c r="AV84" i="3"/>
  <c r="G83" i="4" s="1"/>
  <c r="AV139" i="3"/>
  <c r="G138" i="4" s="1"/>
  <c r="AV207" i="3"/>
  <c r="AV154" i="3"/>
  <c r="G153" i="4" s="1"/>
  <c r="AV228" i="3"/>
  <c r="AV115" i="3"/>
  <c r="G114" i="4" s="1"/>
  <c r="AV244" i="3"/>
  <c r="AV236" i="3"/>
  <c r="AV239" i="3"/>
  <c r="F35" i="5"/>
  <c r="J35" i="8"/>
  <c r="A37" i="8"/>
  <c r="A37" i="5"/>
  <c r="W41" i="3"/>
  <c r="X37" i="3"/>
  <c r="J6" i="8"/>
  <c r="F6" i="5"/>
  <c r="F7" i="5"/>
  <c r="J7" i="8"/>
  <c r="AG195" i="3"/>
  <c r="AA205" i="3"/>
  <c r="AC205" i="3" s="1"/>
  <c r="AA93" i="3"/>
  <c r="AA47" i="3"/>
  <c r="AA136" i="3"/>
  <c r="AG52" i="3"/>
  <c r="AA185" i="3"/>
  <c r="AG21" i="3"/>
  <c r="AA95" i="3"/>
  <c r="AG49" i="3"/>
  <c r="AB39" i="3"/>
  <c r="D38" i="5" s="1"/>
  <c r="AA110" i="3"/>
  <c r="AG35" i="3"/>
  <c r="AG257" i="3"/>
  <c r="AA179" i="3"/>
  <c r="AA77" i="3"/>
  <c r="AG246" i="3"/>
  <c r="AA158" i="3"/>
  <c r="AG44" i="3"/>
  <c r="AG265" i="3"/>
  <c r="AG234" i="3"/>
  <c r="AA173" i="3"/>
  <c r="AA193" i="3"/>
  <c r="AG148" i="3"/>
  <c r="AA74" i="3"/>
  <c r="AA217" i="3"/>
  <c r="AC217" i="3" s="1"/>
  <c r="AG197" i="3"/>
  <c r="AA20" i="3"/>
  <c r="AA66" i="3"/>
  <c r="AG34" i="3"/>
  <c r="AA61" i="3"/>
  <c r="AA160" i="3"/>
  <c r="AG7" i="3"/>
  <c r="AG25" i="3"/>
  <c r="AA125" i="3"/>
  <c r="AA82" i="3"/>
  <c r="AA198" i="3"/>
  <c r="AA219" i="3"/>
  <c r="AC219" i="3" s="1"/>
  <c r="AA116" i="3"/>
  <c r="AA254" i="3"/>
  <c r="AC254" i="3" s="1"/>
  <c r="AG181" i="3"/>
  <c r="AG51" i="3"/>
  <c r="AA65" i="3"/>
  <c r="AG216" i="3"/>
  <c r="AA37" i="3"/>
  <c r="AA209" i="3"/>
  <c r="AC209" i="3" s="1"/>
  <c r="AA188" i="3"/>
  <c r="AA91" i="3"/>
  <c r="AG41" i="3"/>
  <c r="AA150" i="3"/>
  <c r="AA126" i="3"/>
  <c r="AG159" i="3"/>
  <c r="AA32" i="3"/>
  <c r="AG196" i="3"/>
  <c r="AG100" i="3"/>
  <c r="AG201" i="3"/>
  <c r="AA196" i="3"/>
  <c r="AG90" i="3"/>
  <c r="AG271" i="3"/>
  <c r="AG229" i="3"/>
  <c r="AA274" i="3"/>
  <c r="AC274" i="3" s="1"/>
  <c r="AA106" i="3"/>
  <c r="AA8" i="3"/>
  <c r="AG137" i="3"/>
  <c r="AG239" i="3"/>
  <c r="AA239" i="3"/>
  <c r="AC239" i="3" s="1"/>
  <c r="AG238" i="3"/>
  <c r="AG221" i="3"/>
  <c r="AA30" i="3"/>
  <c r="AG113" i="3"/>
  <c r="AG237" i="3"/>
  <c r="AG16" i="3"/>
  <c r="AA241" i="3"/>
  <c r="AC241" i="3" s="1"/>
  <c r="AA115" i="3"/>
  <c r="AG79" i="3"/>
  <c r="AA218" i="3"/>
  <c r="AC218" i="3" s="1"/>
  <c r="AG86" i="3"/>
  <c r="AG46" i="3"/>
  <c r="AG275" i="3"/>
  <c r="AG71" i="3"/>
  <c r="AA258" i="3"/>
  <c r="AC258" i="3" s="1"/>
  <c r="AG38" i="3"/>
  <c r="AG99" i="3"/>
  <c r="AG189" i="3"/>
  <c r="AA257" i="3"/>
  <c r="AC257" i="3" s="1"/>
  <c r="AG200" i="3"/>
  <c r="AG145" i="3"/>
  <c r="AA51" i="3"/>
  <c r="AG129" i="3"/>
  <c r="AG121" i="3"/>
  <c r="AA178" i="3"/>
  <c r="AG190" i="3"/>
  <c r="AA200" i="3"/>
  <c r="AG202" i="3"/>
  <c r="AG37" i="3"/>
  <c r="AA264" i="3"/>
  <c r="AC264" i="3" s="1"/>
  <c r="AG245" i="3"/>
  <c r="AG140" i="3"/>
  <c r="AG78" i="3"/>
  <c r="AG217" i="3"/>
  <c r="AA233" i="3"/>
  <c r="AC233" i="3" s="1"/>
  <c r="AG255" i="3"/>
  <c r="AG199" i="3"/>
  <c r="AG154" i="3"/>
  <c r="AA55" i="3"/>
  <c r="AA9" i="3"/>
  <c r="AA139" i="3"/>
  <c r="AA130" i="3"/>
  <c r="AA236" i="3"/>
  <c r="AC236" i="3" s="1"/>
  <c r="AA221" i="3"/>
  <c r="AC221" i="3" s="1"/>
  <c r="AA13" i="3"/>
  <c r="AA195" i="3"/>
  <c r="AG227" i="3"/>
  <c r="AA86" i="3"/>
  <c r="AA275" i="3"/>
  <c r="AC275" i="3" s="1"/>
  <c r="AG192" i="3"/>
  <c r="AG218" i="3"/>
  <c r="AA199" i="3"/>
  <c r="AA60" i="3"/>
  <c r="AA29" i="3"/>
  <c r="AB218" i="3"/>
  <c r="AB139" i="3"/>
  <c r="D138" i="5" s="1"/>
  <c r="AB258" i="3"/>
  <c r="AG22" i="3"/>
  <c r="AG115" i="3"/>
  <c r="AA251" i="3"/>
  <c r="AC251" i="3" s="1"/>
  <c r="AA26" i="3"/>
  <c r="AG243" i="3"/>
  <c r="AB93" i="3"/>
  <c r="D92" i="5" s="1"/>
  <c r="AB47" i="3"/>
  <c r="D46" i="5" s="1"/>
  <c r="AG261" i="3"/>
  <c r="AG42" i="3"/>
  <c r="AG122" i="3"/>
  <c r="AB136" i="3"/>
  <c r="D135" i="5" s="1"/>
  <c r="AA242" i="3"/>
  <c r="AC242" i="3" s="1"/>
  <c r="AB185" i="3"/>
  <c r="D184" i="5" s="1"/>
  <c r="AA229" i="3"/>
  <c r="AC229" i="3" s="1"/>
  <c r="AG80" i="3"/>
  <c r="AB95" i="3"/>
  <c r="D94" i="5" s="1"/>
  <c r="AA7" i="3"/>
  <c r="AG262" i="3"/>
  <c r="AA202" i="3"/>
  <c r="AC202" i="3" s="1"/>
  <c r="AG43" i="3"/>
  <c r="AG94" i="3"/>
  <c r="AG143" i="3"/>
  <c r="AA76" i="3"/>
  <c r="AB110" i="3"/>
  <c r="D109" i="5" s="1"/>
  <c r="AG175" i="3"/>
  <c r="AG270" i="3"/>
  <c r="AG264" i="3"/>
  <c r="AA99" i="3"/>
  <c r="AB179" i="3"/>
  <c r="D178" i="5" s="1"/>
  <c r="AB77" i="3"/>
  <c r="D76" i="5" s="1"/>
  <c r="AG102" i="3"/>
  <c r="AG11" i="3"/>
  <c r="AA183" i="3"/>
  <c r="AG147" i="3"/>
  <c r="AB158" i="3"/>
  <c r="D157" i="5" s="1"/>
  <c r="AG112" i="3"/>
  <c r="AA207" i="3"/>
  <c r="AC207" i="3" s="1"/>
  <c r="AA187" i="3"/>
  <c r="AA87" i="3"/>
  <c r="AB173" i="3"/>
  <c r="D172" i="5" s="1"/>
  <c r="AB193" i="3"/>
  <c r="D192" i="5" s="1"/>
  <c r="AG105" i="3"/>
  <c r="AB74" i="3"/>
  <c r="D73" i="5" s="1"/>
  <c r="AA84" i="3"/>
  <c r="AB20" i="3"/>
  <c r="D19" i="5" s="1"/>
  <c r="AG167" i="3"/>
  <c r="AA25" i="3"/>
  <c r="AB66" i="3"/>
  <c r="D65" i="5" s="1"/>
  <c r="AG93" i="3"/>
  <c r="AG64" i="3"/>
  <c r="AA224" i="3"/>
  <c r="AC224" i="3" s="1"/>
  <c r="AB61" i="3"/>
  <c r="D60" i="5" s="1"/>
  <c r="AB160" i="3"/>
  <c r="D159" i="5" s="1"/>
  <c r="AA174" i="3"/>
  <c r="AG81" i="3"/>
  <c r="AB125" i="3"/>
  <c r="D124" i="5" s="1"/>
  <c r="AG250" i="3"/>
  <c r="AB198" i="3"/>
  <c r="D197" i="5" s="1"/>
  <c r="AG48" i="3"/>
  <c r="AG187" i="3"/>
  <c r="AA271" i="3"/>
  <c r="AC271" i="3" s="1"/>
  <c r="AG142" i="3"/>
  <c r="AB116" i="3"/>
  <c r="D115" i="5" s="1"/>
  <c r="AG28" i="3"/>
  <c r="AG225" i="3"/>
  <c r="AG213" i="3"/>
  <c r="AG162" i="3"/>
  <c r="AB65" i="3"/>
  <c r="D64" i="5" s="1"/>
  <c r="AA148" i="3"/>
  <c r="AB37" i="3"/>
  <c r="D36" i="5" s="1"/>
  <c r="AB188" i="3"/>
  <c r="D187" i="5" s="1"/>
  <c r="AB91" i="3"/>
  <c r="D90" i="5" s="1"/>
  <c r="AA165" i="3"/>
  <c r="AA142" i="3"/>
  <c r="AB150" i="3"/>
  <c r="D149" i="5" s="1"/>
  <c r="AG251" i="3"/>
  <c r="AG98" i="3"/>
  <c r="AG104" i="3"/>
  <c r="AB32" i="3"/>
  <c r="D31" i="5" s="1"/>
  <c r="AG26" i="3"/>
  <c r="AG69" i="3"/>
  <c r="AG101" i="3"/>
  <c r="AA34" i="3"/>
  <c r="AG274" i="3"/>
  <c r="AG204" i="3"/>
  <c r="AA49" i="3"/>
  <c r="AG89" i="3"/>
  <c r="AG178" i="3"/>
  <c r="AG240" i="3"/>
  <c r="AA53" i="3"/>
  <c r="AA42" i="3"/>
  <c r="AG170" i="3"/>
  <c r="AG182" i="3"/>
  <c r="AB8" i="3"/>
  <c r="D7" i="5" s="1"/>
  <c r="AG73" i="3"/>
  <c r="AG10" i="3"/>
  <c r="AA273" i="3"/>
  <c r="AC273" i="3" s="1"/>
  <c r="AG223" i="3"/>
  <c r="AG107" i="3"/>
  <c r="AA256" i="3"/>
  <c r="AC256" i="3" s="1"/>
  <c r="AA204" i="3"/>
  <c r="AC204" i="3" s="1"/>
  <c r="AA272" i="3"/>
  <c r="AC272" i="3" s="1"/>
  <c r="AB30" i="3"/>
  <c r="D29" i="5" s="1"/>
  <c r="AA107" i="3"/>
  <c r="AA262" i="3"/>
  <c r="AC262" i="3" s="1"/>
  <c r="AA127" i="3"/>
  <c r="AA97" i="3"/>
  <c r="AG33" i="3"/>
  <c r="AG118" i="3"/>
  <c r="AG232" i="3"/>
  <c r="AA170" i="3"/>
  <c r="AA176" i="3"/>
  <c r="AA223" i="3"/>
  <c r="AC223" i="3" s="1"/>
  <c r="AA14" i="3"/>
  <c r="AA237" i="3"/>
  <c r="AC237" i="3" s="1"/>
  <c r="AA128" i="3"/>
  <c r="AB128" i="3" s="1"/>
  <c r="D127" i="5" s="1"/>
  <c r="AA73" i="3"/>
  <c r="AG20" i="3"/>
  <c r="AG171" i="3"/>
  <c r="AG27" i="3"/>
  <c r="AG110" i="3"/>
  <c r="AG18" i="3"/>
  <c r="AG153" i="3"/>
  <c r="AA105" i="3"/>
  <c r="AA154" i="3"/>
  <c r="AA89" i="3"/>
  <c r="AG45" i="3"/>
  <c r="AG165" i="3"/>
  <c r="AG103" i="3"/>
  <c r="AA270" i="3"/>
  <c r="AC270" i="3" s="1"/>
  <c r="AG87" i="3"/>
  <c r="AG242" i="3"/>
  <c r="AG9" i="3"/>
  <c r="AB200" i="3"/>
  <c r="D199" i="5" s="1"/>
  <c r="AG164" i="3"/>
  <c r="AA21" i="3"/>
  <c r="AG68" i="3"/>
  <c r="AA166" i="3"/>
  <c r="AA186" i="3"/>
  <c r="AG263" i="3"/>
  <c r="AA231" i="3"/>
  <c r="AC231" i="3" s="1"/>
  <c r="AA261" i="3"/>
  <c r="AC261" i="3" s="1"/>
  <c r="AG266" i="3"/>
  <c r="AA17" i="3"/>
  <c r="AB55" i="3"/>
  <c r="D54" i="5" s="1"/>
  <c r="AA141" i="3"/>
  <c r="AB9" i="3"/>
  <c r="D8" i="5" s="1"/>
  <c r="AA18" i="3"/>
  <c r="AG130" i="3"/>
  <c r="AB130" i="3"/>
  <c r="D129" i="5" s="1"/>
  <c r="AA102" i="3"/>
  <c r="AA33" i="3"/>
  <c r="AG67" i="3"/>
  <c r="AA104" i="3"/>
  <c r="AB13" i="3"/>
  <c r="D12" i="5" s="1"/>
  <c r="AA164" i="3"/>
  <c r="AG109" i="3"/>
  <c r="AG150" i="3"/>
  <c r="AA259" i="3"/>
  <c r="AC259" i="3" s="1"/>
  <c r="AA85" i="3"/>
  <c r="AG179" i="3"/>
  <c r="AA111" i="3"/>
  <c r="AB199" i="3"/>
  <c r="D198" i="5" s="1"/>
  <c r="AB60" i="3"/>
  <c r="D59" i="5" s="1"/>
  <c r="AB29" i="3"/>
  <c r="D28" i="5" s="1"/>
  <c r="AB223" i="3"/>
  <c r="AB207" i="3"/>
  <c r="AB272" i="3"/>
  <c r="AB186" i="3"/>
  <c r="D185" i="5" s="1"/>
  <c r="AB82" i="3"/>
  <c r="D81" i="5" s="1"/>
  <c r="AB33" i="3"/>
  <c r="D32" i="5" s="1"/>
  <c r="AB257" i="3"/>
  <c r="AB270" i="3"/>
  <c r="AB221" i="3"/>
  <c r="AB273" i="3"/>
  <c r="AB178" i="3"/>
  <c r="D177" i="5" s="1"/>
  <c r="AA45" i="3"/>
  <c r="AG84" i="3"/>
  <c r="AA191" i="3"/>
  <c r="AA159" i="3"/>
  <c r="AG233" i="3"/>
  <c r="AA43" i="3"/>
  <c r="AG39" i="3"/>
  <c r="AG219" i="3"/>
  <c r="AA131" i="3"/>
  <c r="AG61" i="3"/>
  <c r="AA101" i="3"/>
  <c r="AG156" i="3"/>
  <c r="AA81" i="3"/>
  <c r="AG77" i="3"/>
  <c r="AG158" i="3"/>
  <c r="AA155" i="3"/>
  <c r="AA103" i="3"/>
  <c r="AG123" i="3"/>
  <c r="AB7" i="3"/>
  <c r="AG56" i="3"/>
  <c r="AG215" i="3"/>
  <c r="AG241" i="3"/>
  <c r="AA120" i="3"/>
  <c r="AG146" i="3"/>
  <c r="AG151" i="3"/>
  <c r="AA35" i="3"/>
  <c r="AB76" i="3"/>
  <c r="D75" i="5" s="1"/>
  <c r="AA268" i="3"/>
  <c r="AC268" i="3" s="1"/>
  <c r="AG24" i="3"/>
  <c r="AA201" i="3"/>
  <c r="AG163" i="3"/>
  <c r="AB99" i="3"/>
  <c r="D98" i="5" s="1"/>
  <c r="AG82" i="3"/>
  <c r="AA112" i="3"/>
  <c r="AA70" i="3"/>
  <c r="AA144" i="3"/>
  <c r="AG95" i="3"/>
  <c r="AG173" i="3"/>
  <c r="AA177" i="3"/>
  <c r="AB187" i="3"/>
  <c r="D186" i="5" s="1"/>
  <c r="AB87" i="3"/>
  <c r="D86" i="5" s="1"/>
  <c r="AG211" i="3"/>
  <c r="AG210" i="3"/>
  <c r="AG14" i="3"/>
  <c r="AG144" i="3"/>
  <c r="AG124" i="3"/>
  <c r="AA206" i="3"/>
  <c r="AC206" i="3" s="1"/>
  <c r="AA180" i="3"/>
  <c r="AA147" i="3"/>
  <c r="AB25" i="3"/>
  <c r="D24" i="5" s="1"/>
  <c r="AA192" i="3"/>
  <c r="AA31" i="3"/>
  <c r="AG203" i="3"/>
  <c r="AG55" i="3"/>
  <c r="AB174" i="3"/>
  <c r="D173" i="5" s="1"/>
  <c r="AG231" i="3"/>
  <c r="AG133" i="3"/>
  <c r="AA211" i="3"/>
  <c r="AC211" i="3" s="1"/>
  <c r="AG198" i="3"/>
  <c r="AG106" i="3"/>
  <c r="AA138" i="3"/>
  <c r="AA36" i="3"/>
  <c r="AG114" i="3"/>
  <c r="AG83" i="3"/>
  <c r="AA129" i="3"/>
  <c r="AB129" i="3" s="1"/>
  <c r="D128" i="5" s="1"/>
  <c r="AA54" i="3"/>
  <c r="AA11" i="3"/>
  <c r="AB11" i="3" s="1"/>
  <c r="D10" i="5" s="1"/>
  <c r="AG120" i="3"/>
  <c r="AG136" i="3"/>
  <c r="AA28" i="3"/>
  <c r="AG273" i="3"/>
  <c r="AA117" i="3"/>
  <c r="AG31" i="3"/>
  <c r="AA246" i="3"/>
  <c r="AC246" i="3" s="1"/>
  <c r="AB148" i="3"/>
  <c r="D147" i="5" s="1"/>
  <c r="AA210" i="3"/>
  <c r="AC210" i="3" s="1"/>
  <c r="AG226" i="3"/>
  <c r="AA15" i="3"/>
  <c r="AB142" i="3"/>
  <c r="D141" i="5" s="1"/>
  <c r="AA108" i="3"/>
  <c r="AA167" i="3"/>
  <c r="AA48" i="3"/>
  <c r="AA100" i="3"/>
  <c r="AA212" i="3"/>
  <c r="AC212" i="3" s="1"/>
  <c r="AA240" i="3"/>
  <c r="AC240" i="3" s="1"/>
  <c r="AA64" i="3"/>
  <c r="AA124" i="3"/>
  <c r="AA149" i="3"/>
  <c r="AB34" i="3"/>
  <c r="D33" i="5" s="1"/>
  <c r="AG125" i="3"/>
  <c r="AG259" i="3"/>
  <c r="AA146" i="3"/>
  <c r="AG269" i="3"/>
  <c r="AA98" i="3"/>
  <c r="AA72" i="3"/>
  <c r="AB53" i="3"/>
  <c r="D52" i="5" s="1"/>
  <c r="AA171" i="3"/>
  <c r="AG188" i="3"/>
  <c r="AG152" i="3"/>
  <c r="AA228" i="3"/>
  <c r="AC228" i="3" s="1"/>
  <c r="AG128" i="3"/>
  <c r="AG185" i="3"/>
  <c r="AA122" i="3"/>
  <c r="AG127" i="3"/>
  <c r="AG85" i="3"/>
  <c r="AA62" i="3"/>
  <c r="AA227" i="3"/>
  <c r="AC227" i="3" s="1"/>
  <c r="AB127" i="3"/>
  <c r="D126" i="5" s="1"/>
  <c r="AG111" i="3"/>
  <c r="AA38" i="3"/>
  <c r="AB38" i="3" s="1"/>
  <c r="D37" i="5" s="1"/>
  <c r="AA181" i="3"/>
  <c r="AA67" i="3"/>
  <c r="AG47" i="3"/>
  <c r="AG97" i="3"/>
  <c r="AG132" i="3"/>
  <c r="AA75" i="3"/>
  <c r="AB75" i="3" s="1"/>
  <c r="D74" i="5" s="1"/>
  <c r="AA234" i="3"/>
  <c r="AC234" i="3" s="1"/>
  <c r="AA267" i="3"/>
  <c r="AC267" i="3" s="1"/>
  <c r="AA153" i="3"/>
  <c r="AB73" i="3"/>
  <c r="D72" i="5" s="1"/>
  <c r="AG13" i="3"/>
  <c r="AA143" i="3"/>
  <c r="AA232" i="3"/>
  <c r="AC232" i="3" s="1"/>
  <c r="AG228" i="3"/>
  <c r="AG91" i="3"/>
  <c r="AA132" i="3"/>
  <c r="AG248" i="3"/>
  <c r="AA247" i="3"/>
  <c r="AC247" i="3" s="1"/>
  <c r="AA88" i="3"/>
  <c r="AB154" i="3"/>
  <c r="D153" i="5" s="1"/>
  <c r="AB89" i="3"/>
  <c r="D88" i="5" s="1"/>
  <c r="AG15" i="3"/>
  <c r="AG155" i="3"/>
  <c r="AG141" i="3"/>
  <c r="AG184" i="3"/>
  <c r="AG186" i="3"/>
  <c r="AA215" i="3"/>
  <c r="AC215" i="3" s="1"/>
  <c r="AG32" i="3"/>
  <c r="AG208" i="3"/>
  <c r="AG160" i="3"/>
  <c r="AA269" i="3"/>
  <c r="AC269" i="3" s="1"/>
  <c r="AB21" i="3"/>
  <c r="D20" i="5" s="1"/>
  <c r="AG177" i="3"/>
  <c r="AA24" i="3"/>
  <c r="AB166" i="3"/>
  <c r="D165" i="5" s="1"/>
  <c r="AA194" i="3"/>
  <c r="AG138" i="3"/>
  <c r="AG36" i="3"/>
  <c r="AG135" i="3"/>
  <c r="AA226" i="3"/>
  <c r="AC226" i="3" s="1"/>
  <c r="AA216" i="3"/>
  <c r="AC216" i="3" s="1"/>
  <c r="AB18" i="3"/>
  <c r="D17" i="5" s="1"/>
  <c r="AA203" i="3"/>
  <c r="AC203" i="3" s="1"/>
  <c r="AB102" i="3"/>
  <c r="D101" i="5" s="1"/>
  <c r="AA140" i="3"/>
  <c r="AG62" i="3"/>
  <c r="AG92" i="3"/>
  <c r="AA96" i="3"/>
  <c r="AG207" i="3"/>
  <c r="AB164" i="3"/>
  <c r="D163" i="5" s="1"/>
  <c r="AG12" i="3"/>
  <c r="AG174" i="3"/>
  <c r="AA133" i="3"/>
  <c r="AA168" i="3"/>
  <c r="AG57" i="3"/>
  <c r="AG222" i="3"/>
  <c r="AG8" i="3"/>
  <c r="AB111" i="3"/>
  <c r="D110" i="5" s="1"/>
  <c r="AB209" i="3"/>
  <c r="AB267" i="3"/>
  <c r="AB210" i="3"/>
  <c r="AB271" i="3"/>
  <c r="AB241" i="3"/>
  <c r="AB275" i="3"/>
  <c r="AB264" i="3"/>
  <c r="AB219" i="3"/>
  <c r="AB231" i="3"/>
  <c r="AB106" i="3"/>
  <c r="D105" i="5" s="1"/>
  <c r="AB42" i="3"/>
  <c r="D41" i="5" s="1"/>
  <c r="AB26" i="3"/>
  <c r="D25" i="5" s="1"/>
  <c r="AB227" i="3"/>
  <c r="AB107" i="3"/>
  <c r="D106" i="5" s="1"/>
  <c r="AB168" i="3"/>
  <c r="D167" i="5" s="1"/>
  <c r="AB183" i="3"/>
  <c r="D182" i="5" s="1"/>
  <c r="AB259" i="3"/>
  <c r="AB126" i="3"/>
  <c r="D125" i="5" s="1"/>
  <c r="AB155" i="3"/>
  <c r="D154" i="5" s="1"/>
  <c r="AB115" i="3"/>
  <c r="D114" i="5" s="1"/>
  <c r="AB239" i="3"/>
  <c r="AB176" i="3"/>
  <c r="D175" i="5" s="1"/>
  <c r="AB170" i="3"/>
  <c r="D169" i="5" s="1"/>
  <c r="AB196" i="3"/>
  <c r="D195" i="5" s="1"/>
  <c r="AG249" i="3"/>
  <c r="AA68" i="3"/>
  <c r="AA69" i="3"/>
  <c r="AB69" i="3" s="1"/>
  <c r="D68" i="5" s="1"/>
  <c r="AB101" i="3"/>
  <c r="D100" i="5" s="1"/>
  <c r="AG63" i="3"/>
  <c r="AG176" i="3"/>
  <c r="AA250" i="3"/>
  <c r="AC250" i="3" s="1"/>
  <c r="AA156" i="3"/>
  <c r="AB156" i="3" s="1"/>
  <c r="D155" i="5" s="1"/>
  <c r="AA39" i="3"/>
  <c r="AA161" i="3"/>
  <c r="AG183" i="3"/>
  <c r="AA57" i="3"/>
  <c r="AG65" i="3"/>
  <c r="AB180" i="3"/>
  <c r="D179" i="5" s="1"/>
  <c r="AB192" i="3"/>
  <c r="D191" i="5" s="1"/>
  <c r="AA152" i="3"/>
  <c r="AA50" i="3"/>
  <c r="AG191" i="3"/>
  <c r="AB36" i="3"/>
  <c r="D35" i="5" s="1"/>
  <c r="AB54" i="3"/>
  <c r="D53" i="5" s="1"/>
  <c r="AG247" i="3"/>
  <c r="AB117" i="3"/>
  <c r="D116" i="5" s="1"/>
  <c r="AA175" i="3"/>
  <c r="AB175" i="3" s="1"/>
  <c r="D174" i="5" s="1"/>
  <c r="AG252" i="3"/>
  <c r="AB100" i="3"/>
  <c r="D99" i="5" s="1"/>
  <c r="AA79" i="3"/>
  <c r="AB79" i="3" s="1"/>
  <c r="D78" i="5" s="1"/>
  <c r="AG272" i="3"/>
  <c r="AB98" i="3"/>
  <c r="D97" i="5" s="1"/>
  <c r="AA163" i="3"/>
  <c r="AB163" i="3" s="1"/>
  <c r="D162" i="5" s="1"/>
  <c r="AG258" i="3"/>
  <c r="AA213" i="3"/>
  <c r="AC213" i="3" s="1"/>
  <c r="AA263" i="3"/>
  <c r="AC263" i="3" s="1"/>
  <c r="AA172" i="3"/>
  <c r="AB172" i="3" s="1"/>
  <c r="D171" i="5" s="1"/>
  <c r="AB181" i="3"/>
  <c r="D180" i="5" s="1"/>
  <c r="AA63" i="3"/>
  <c r="AG166" i="3"/>
  <c r="AG72" i="3"/>
  <c r="AB88" i="3"/>
  <c r="D87" i="5" s="1"/>
  <c r="AG209" i="3"/>
  <c r="AA151" i="3"/>
  <c r="AB151" i="3" s="1"/>
  <c r="D150" i="5" s="1"/>
  <c r="AA92" i="3"/>
  <c r="AA182" i="3"/>
  <c r="AG254" i="3"/>
  <c r="AG88" i="3"/>
  <c r="AA265" i="3"/>
  <c r="AC265" i="3" s="1"/>
  <c r="AB96" i="3"/>
  <c r="D95" i="5" s="1"/>
  <c r="AA19" i="3"/>
  <c r="AB19" i="3" s="1"/>
  <c r="D18" i="5" s="1"/>
  <c r="AA157" i="3"/>
  <c r="AB240" i="3"/>
  <c r="AB202" i="3"/>
  <c r="AB254" i="3"/>
  <c r="AB236" i="3"/>
  <c r="AB268" i="3"/>
  <c r="AB85" i="3"/>
  <c r="D84" i="5" s="1"/>
  <c r="AB191" i="3"/>
  <c r="D190" i="5" s="1"/>
  <c r="AB43" i="3"/>
  <c r="D42" i="5" s="1"/>
  <c r="AA134" i="3"/>
  <c r="AA71" i="3"/>
  <c r="AA27" i="3"/>
  <c r="AB27" i="3" s="1"/>
  <c r="D26" i="5" s="1"/>
  <c r="AA23" i="3"/>
  <c r="AB23" i="3" s="1"/>
  <c r="D22" i="5" s="1"/>
  <c r="AA225" i="3"/>
  <c r="AC225" i="3" s="1"/>
  <c r="AA238" i="3"/>
  <c r="AC238" i="3" s="1"/>
  <c r="AB35" i="3"/>
  <c r="D34" i="5" s="1"/>
  <c r="AG126" i="3"/>
  <c r="AA40" i="3"/>
  <c r="AB70" i="3"/>
  <c r="D69" i="5" s="1"/>
  <c r="AG180" i="3"/>
  <c r="AB205" i="3"/>
  <c r="AA90" i="3"/>
  <c r="AB147" i="3"/>
  <c r="D146" i="5" s="1"/>
  <c r="AB31" i="3"/>
  <c r="D30" i="5" s="1"/>
  <c r="AA52" i="3"/>
  <c r="AA10" i="3"/>
  <c r="AA114" i="3"/>
  <c r="AB114" i="3" s="1"/>
  <c r="D113" i="5" s="1"/>
  <c r="AG268" i="3"/>
  <c r="AA16" i="3"/>
  <c r="AB16" i="3" s="1"/>
  <c r="D15" i="5" s="1"/>
  <c r="AG220" i="3"/>
  <c r="AG23" i="3"/>
  <c r="AG116" i="3"/>
  <c r="AG157" i="3"/>
  <c r="AA118" i="3"/>
  <c r="AB124" i="3"/>
  <c r="D123" i="5" s="1"/>
  <c r="AG139" i="3"/>
  <c r="AB72" i="3"/>
  <c r="D71" i="5" s="1"/>
  <c r="AG54" i="3"/>
  <c r="AA44" i="3"/>
  <c r="AB44" i="3" s="1"/>
  <c r="D43" i="5" s="1"/>
  <c r="AG117" i="3"/>
  <c r="AG168" i="3"/>
  <c r="AB67" i="3"/>
  <c r="D66" i="5" s="1"/>
  <c r="AA245" i="3"/>
  <c r="AC245" i="3" s="1"/>
  <c r="AA252" i="3"/>
  <c r="AC252" i="3" s="1"/>
  <c r="AA266" i="3"/>
  <c r="AC266" i="3" s="1"/>
  <c r="AG119" i="3"/>
  <c r="AA208" i="3"/>
  <c r="AC208" i="3" s="1"/>
  <c r="AA113" i="3"/>
  <c r="AG19" i="3"/>
  <c r="AG214" i="3"/>
  <c r="AB140" i="3"/>
  <c r="D139" i="5" s="1"/>
  <c r="AG212" i="3"/>
  <c r="AG53" i="3"/>
  <c r="AA123" i="3"/>
  <c r="AA46" i="3"/>
  <c r="AB46" i="3" s="1"/>
  <c r="D45" i="5" s="1"/>
  <c r="AB251" i="3"/>
  <c r="AB217" i="3"/>
  <c r="AB247" i="3"/>
  <c r="AB234" i="3"/>
  <c r="AB206" i="3"/>
  <c r="AB84" i="3"/>
  <c r="D83" i="5" s="1"/>
  <c r="AB141" i="3"/>
  <c r="D140" i="5" s="1"/>
  <c r="AB256" i="3"/>
  <c r="AG149" i="3"/>
  <c r="AG76" i="3"/>
  <c r="AB131" i="3"/>
  <c r="D130" i="5" s="1"/>
  <c r="AB81" i="3"/>
  <c r="D80" i="5" s="1"/>
  <c r="AG74" i="3"/>
  <c r="AB103" i="3"/>
  <c r="D102" i="5" s="1"/>
  <c r="AA56" i="3"/>
  <c r="AB120" i="3"/>
  <c r="D119" i="5" s="1"/>
  <c r="AB201" i="3"/>
  <c r="D200" i="5" s="1"/>
  <c r="AA220" i="3"/>
  <c r="AC220" i="3" s="1"/>
  <c r="AB144" i="3"/>
  <c r="D143" i="5" s="1"/>
  <c r="AB177" i="3"/>
  <c r="D176" i="5" s="1"/>
  <c r="AG17" i="3"/>
  <c r="AG50" i="3"/>
  <c r="AG267" i="3"/>
  <c r="AG58" i="3"/>
  <c r="AA135" i="3"/>
  <c r="AB135" i="3" s="1"/>
  <c r="D134" i="5" s="1"/>
  <c r="AA94" i="3"/>
  <c r="AA41" i="3"/>
  <c r="AB28" i="3"/>
  <c r="D27" i="5" s="1"/>
  <c r="AB15" i="3"/>
  <c r="D14" i="5" s="1"/>
  <c r="AA190" i="3"/>
  <c r="AA59" i="3"/>
  <c r="AA222" i="3"/>
  <c r="AC222" i="3" s="1"/>
  <c r="AB146" i="3"/>
  <c r="D145" i="5" s="1"/>
  <c r="AB122" i="3"/>
  <c r="D121" i="5" s="1"/>
  <c r="AG235" i="3"/>
  <c r="AA255" i="3"/>
  <c r="AC255" i="3" s="1"/>
  <c r="AA184" i="3"/>
  <c r="AA145" i="3"/>
  <c r="AA197" i="3"/>
  <c r="AB153" i="3"/>
  <c r="D152" i="5" s="1"/>
  <c r="AA244" i="3"/>
  <c r="AC244" i="3" s="1"/>
  <c r="AG96" i="3"/>
  <c r="AG169" i="3"/>
  <c r="AG108" i="3"/>
  <c r="AA260" i="3"/>
  <c r="AC260" i="3" s="1"/>
  <c r="AA249" i="3"/>
  <c r="AC249" i="3" s="1"/>
  <c r="AG244" i="3"/>
  <c r="AB133" i="3"/>
  <c r="D132" i="5" s="1"/>
  <c r="AA78" i="3"/>
  <c r="AB78" i="3" s="1"/>
  <c r="D77" i="5" s="1"/>
  <c r="AG230" i="3"/>
  <c r="AB260" i="3"/>
  <c r="AB261" i="3"/>
  <c r="AB157" i="3"/>
  <c r="D156" i="5" s="1"/>
  <c r="AB45" i="3"/>
  <c r="D44" i="5" s="1"/>
  <c r="AB159" i="3"/>
  <c r="D158" i="5" s="1"/>
  <c r="AG256" i="3"/>
  <c r="AA119" i="3"/>
  <c r="AA58" i="3"/>
  <c r="AB58" i="3" s="1"/>
  <c r="D57" i="5" s="1"/>
  <c r="AA169" i="3"/>
  <c r="AG30" i="3"/>
  <c r="AG193" i="3"/>
  <c r="AA248" i="3"/>
  <c r="AC248" i="3" s="1"/>
  <c r="AA83" i="3"/>
  <c r="AB83" i="3" s="1"/>
  <c r="D82" i="5" s="1"/>
  <c r="AA235" i="3"/>
  <c r="AC235" i="3" s="1"/>
  <c r="AA109" i="3"/>
  <c r="AG194" i="3"/>
  <c r="AG260" i="3"/>
  <c r="AA121" i="3"/>
  <c r="AA22" i="3"/>
  <c r="AB22" i="3" s="1"/>
  <c r="D21" i="5" s="1"/>
  <c r="AA189" i="3"/>
  <c r="AA137" i="3"/>
  <c r="AB137" i="3" s="1"/>
  <c r="D136" i="5" s="1"/>
  <c r="AG131" i="3"/>
  <c r="AA80" i="3"/>
  <c r="AB138" i="3"/>
  <c r="D137" i="5" s="1"/>
  <c r="AA162" i="3"/>
  <c r="AB162" i="3" s="1"/>
  <c r="D161" i="5" s="1"/>
  <c r="AA230" i="3"/>
  <c r="AC230" i="3" s="1"/>
  <c r="AG236" i="3"/>
  <c r="AG66" i="3"/>
  <c r="AG224" i="3"/>
  <c r="AG59" i="3"/>
  <c r="AG134" i="3"/>
  <c r="AB171" i="3"/>
  <c r="D170" i="5" s="1"/>
  <c r="AG75" i="3"/>
  <c r="AA253" i="3"/>
  <c r="AC253" i="3" s="1"/>
  <c r="AG70" i="3"/>
  <c r="AG161" i="3"/>
  <c r="AG60" i="3"/>
  <c r="AG253" i="3"/>
  <c r="AA12" i="3"/>
  <c r="AB12" i="3" s="1"/>
  <c r="D11" i="5" s="1"/>
  <c r="AG172" i="3"/>
  <c r="AB194" i="3"/>
  <c r="D193" i="5" s="1"/>
  <c r="AG40" i="3"/>
  <c r="AA214" i="3"/>
  <c r="AC214" i="3" s="1"/>
  <c r="AG206" i="3"/>
  <c r="AG205" i="3"/>
  <c r="AA243" i="3"/>
  <c r="AC243" i="3" s="1"/>
  <c r="AG29" i="3"/>
  <c r="AB274" i="3"/>
  <c r="AB230" i="3"/>
  <c r="AB228" i="3"/>
  <c r="AB224" i="3"/>
  <c r="AB244" i="3"/>
  <c r="AB165" i="3"/>
  <c r="D164" i="5" s="1"/>
  <c r="AB51" i="3"/>
  <c r="D50" i="5" s="1"/>
  <c r="AB262" i="3"/>
  <c r="AB108" i="3"/>
  <c r="D107" i="5" s="1"/>
  <c r="AB182" i="3"/>
  <c r="D181" i="5" s="1"/>
  <c r="AB195" i="3"/>
  <c r="D194" i="5" s="1"/>
  <c r="AB105" i="3"/>
  <c r="D104" i="5" s="1"/>
  <c r="AB132" i="3"/>
  <c r="D131" i="5" s="1"/>
  <c r="J33" i="8"/>
  <c r="F33" i="5"/>
  <c r="J20" i="8"/>
  <c r="F20" i="5"/>
  <c r="Y281" i="1"/>
  <c r="Y282" i="1" s="1"/>
  <c r="Y283" i="1" s="1"/>
  <c r="Y284" i="1" s="1"/>
  <c r="Y285" i="1" s="1"/>
  <c r="Y286" i="1" s="1"/>
  <c r="Y287" i="1" s="1"/>
  <c r="Y288" i="1" s="1"/>
  <c r="Y289" i="1" s="1"/>
  <c r="Y290" i="1" s="1"/>
  <c r="Y291" i="1" s="1"/>
  <c r="Y292" i="1" s="1"/>
  <c r="Y293" i="1" s="1"/>
  <c r="Y294" i="1" s="1"/>
  <c r="Y295" i="1" s="1"/>
  <c r="Y296" i="1" s="1"/>
  <c r="Y297" i="1" s="1"/>
  <c r="Y298" i="1" s="1"/>
  <c r="Y299" i="1" s="1"/>
  <c r="Y300" i="1" s="1"/>
  <c r="Y301" i="1" s="1"/>
  <c r="Y302" i="1" s="1"/>
  <c r="Y303" i="1" s="1"/>
  <c r="Y304" i="1" s="1"/>
  <c r="Y305" i="1" s="1"/>
  <c r="Y306" i="1" s="1"/>
  <c r="Y307" i="1" s="1"/>
  <c r="Y308" i="1" s="1"/>
  <c r="Y309" i="1" s="1"/>
  <c r="Y310" i="1" s="1"/>
  <c r="Y311" i="1" s="1"/>
  <c r="Y312" i="1" s="1"/>
  <c r="Y313" i="1" s="1"/>
  <c r="Y314" i="1" s="1"/>
  <c r="Y315" i="1" s="1"/>
  <c r="Y316" i="1" s="1"/>
  <c r="Y317" i="1" s="1"/>
  <c r="Y318" i="1" s="1"/>
  <c r="Y319" i="1" s="1"/>
  <c r="Y320" i="1" s="1"/>
  <c r="Y321" i="1" s="1"/>
  <c r="Y322" i="1" s="1"/>
  <c r="Y323" i="1" s="1"/>
  <c r="Y324" i="1" s="1"/>
  <c r="Y325" i="1" s="1"/>
  <c r="Y326" i="1" s="1"/>
  <c r="Y327" i="1" s="1"/>
  <c r="Y328" i="1" s="1"/>
  <c r="Y329" i="1" s="1"/>
  <c r="Y330" i="1" s="1"/>
  <c r="Y331" i="1" s="1"/>
  <c r="Y332" i="1" s="1"/>
  <c r="Y333" i="1" s="1"/>
  <c r="Y334" i="1" s="1"/>
  <c r="Y335" i="1" s="1"/>
  <c r="Y336" i="1" s="1"/>
  <c r="Y337" i="1" s="1"/>
  <c r="Y338" i="1" s="1"/>
  <c r="Y339" i="1" s="1"/>
  <c r="Y340" i="1" s="1"/>
  <c r="Y341" i="1" s="1"/>
  <c r="Y342" i="1" s="1"/>
  <c r="Y343" i="1" s="1"/>
  <c r="Y344" i="1" s="1"/>
  <c r="Y345" i="1" s="1"/>
  <c r="Y346" i="1" s="1"/>
  <c r="Y347" i="1" s="1"/>
  <c r="Y348" i="1" s="1"/>
  <c r="Y349" i="1" s="1"/>
  <c r="Y350" i="1" s="1"/>
  <c r="Y351" i="1" s="1"/>
  <c r="Y352" i="1" s="1"/>
  <c r="Y353" i="1" s="1"/>
  <c r="Y354" i="1" s="1"/>
  <c r="Y355" i="1" s="1"/>
  <c r="Y356" i="1" s="1"/>
  <c r="Y357" i="1" s="1"/>
  <c r="Y358" i="1" s="1"/>
  <c r="Y359" i="1" s="1"/>
  <c r="Y360" i="1" s="1"/>
  <c r="Y361" i="1" s="1"/>
  <c r="Y362" i="1" s="1"/>
  <c r="Y363" i="1" s="1"/>
  <c r="Y364" i="1" s="1"/>
  <c r="Y365" i="1" s="1"/>
  <c r="Y366" i="1" s="1"/>
  <c r="Y367" i="1" s="1"/>
  <c r="Y368" i="1" s="1"/>
  <c r="Y369" i="1" s="1"/>
  <c r="Y370" i="1" s="1"/>
  <c r="Y371" i="1" s="1"/>
  <c r="Y372" i="1" s="1"/>
  <c r="Y373" i="1" s="1"/>
  <c r="Y374" i="1" s="1"/>
  <c r="Y375" i="1" s="1"/>
  <c r="Y376" i="1" s="1"/>
  <c r="Y377" i="1" s="1"/>
  <c r="Y378" i="1" s="1"/>
  <c r="Y379" i="1" s="1"/>
  <c r="Y380" i="1" s="1"/>
  <c r="Y381" i="1" s="1"/>
  <c r="Y382" i="1" s="1"/>
  <c r="Y383" i="1" s="1"/>
  <c r="Y384" i="1" s="1"/>
  <c r="Y385" i="1" s="1"/>
  <c r="Y386" i="1" s="1"/>
  <c r="Y387" i="1" s="1"/>
  <c r="Y388" i="1" s="1"/>
  <c r="Y389" i="1" s="1"/>
  <c r="Y390" i="1" s="1"/>
  <c r="Y391" i="1" s="1"/>
  <c r="Y392" i="1" s="1"/>
  <c r="Y393" i="1" s="1"/>
  <c r="Y394" i="1" s="1"/>
  <c r="Y395" i="1" s="1"/>
  <c r="Y396" i="1" s="1"/>
  <c r="Y397" i="1" s="1"/>
  <c r="Y398" i="1" s="1"/>
  <c r="Y399" i="1" s="1"/>
  <c r="Y400" i="1" s="1"/>
  <c r="Y401" i="1" s="1"/>
  <c r="Y402" i="1" s="1"/>
  <c r="Y403" i="1" s="1"/>
  <c r="Y404" i="1" s="1"/>
  <c r="Y405" i="1" s="1"/>
  <c r="Y406" i="1" s="1"/>
  <c r="Y407" i="1" s="1"/>
  <c r="Y408" i="1" s="1"/>
  <c r="Y409" i="1" s="1"/>
  <c r="Y410" i="1" s="1"/>
  <c r="Y411" i="1" s="1"/>
  <c r="Y412" i="1" s="1"/>
  <c r="Y413" i="1" s="1"/>
  <c r="Y414" i="1" s="1"/>
  <c r="Y415" i="1" s="1"/>
  <c r="Y416" i="1" s="1"/>
  <c r="Y417" i="1" s="1"/>
  <c r="Y418" i="1" s="1"/>
  <c r="Y419" i="1" s="1"/>
  <c r="Y420" i="1" s="1"/>
  <c r="Y421" i="1" s="1"/>
  <c r="Y422" i="1" s="1"/>
  <c r="Y423" i="1" s="1"/>
  <c r="Y424" i="1" s="1"/>
  <c r="Y425" i="1" s="1"/>
  <c r="Y426" i="1" s="1"/>
  <c r="Y427" i="1" s="1"/>
  <c r="Y428" i="1" s="1"/>
  <c r="Y429" i="1" s="1"/>
  <c r="Y430" i="1" s="1"/>
  <c r="Y431" i="1" s="1"/>
  <c r="Y432" i="1" s="1"/>
  <c r="Y433" i="1" s="1"/>
  <c r="Y434" i="1" s="1"/>
  <c r="Y435" i="1" s="1"/>
  <c r="Y436" i="1" s="1"/>
  <c r="Y437" i="1" s="1"/>
  <c r="Y438" i="1" s="1"/>
  <c r="Y439" i="1" s="1"/>
  <c r="Y440" i="1" s="1"/>
  <c r="Y441" i="1" s="1"/>
  <c r="Y442" i="1" s="1"/>
  <c r="Y443" i="1" s="1"/>
  <c r="Y444" i="1" s="1"/>
  <c r="Y445" i="1" s="1"/>
  <c r="Y446" i="1" s="1"/>
  <c r="Y447" i="1" s="1"/>
  <c r="Y448" i="1" s="1"/>
  <c r="Y449" i="1" s="1"/>
  <c r="Y450" i="1" s="1"/>
  <c r="Y451" i="1" s="1"/>
  <c r="Y452" i="1" s="1"/>
  <c r="Y453" i="1" s="1"/>
  <c r="Y454" i="1" s="1"/>
  <c r="Y455" i="1" s="1"/>
  <c r="Y456" i="1" s="1"/>
  <c r="Y457" i="1" s="1"/>
  <c r="Y458" i="1" s="1"/>
  <c r="Y459" i="1" s="1"/>
  <c r="Y460" i="1" s="1"/>
  <c r="Y461" i="1" s="1"/>
  <c r="Y462" i="1" s="1"/>
  <c r="Y463" i="1" s="1"/>
  <c r="Y464" i="1" s="1"/>
  <c r="Y465" i="1" s="1"/>
  <c r="Y466" i="1" s="1"/>
  <c r="Y467" i="1" s="1"/>
  <c r="Y468" i="1" s="1"/>
  <c r="Y469" i="1" s="1"/>
  <c r="Y470" i="1" s="1"/>
  <c r="Y471" i="1" s="1"/>
  <c r="Y472" i="1" s="1"/>
  <c r="Y473" i="1" s="1"/>
  <c r="Y474" i="1" s="1"/>
  <c r="Y475" i="1" s="1"/>
  <c r="Y476" i="1" s="1"/>
  <c r="Y477" i="1" s="1"/>
  <c r="Y478" i="1" s="1"/>
  <c r="Y479" i="1" s="1"/>
  <c r="Y480" i="1" s="1"/>
  <c r="Y481" i="1" s="1"/>
  <c r="Y482" i="1" s="1"/>
  <c r="Y483" i="1" s="1"/>
  <c r="Y484" i="1" s="1"/>
  <c r="Y485" i="1" s="1"/>
  <c r="Y486" i="1" s="1"/>
  <c r="Y487" i="1" s="1"/>
  <c r="Y488" i="1" s="1"/>
  <c r="Y489" i="1" s="1"/>
  <c r="Y490" i="1" s="1"/>
  <c r="Y491" i="1" s="1"/>
  <c r="Y492" i="1" s="1"/>
  <c r="Y493" i="1" s="1"/>
  <c r="Y494" i="1" s="1"/>
  <c r="Y495" i="1" s="1"/>
  <c r="Y496" i="1" s="1"/>
  <c r="Y497" i="1" s="1"/>
  <c r="Y498" i="1" s="1"/>
  <c r="Y499" i="1" s="1"/>
  <c r="Y500" i="1" s="1"/>
  <c r="Y501" i="1" s="1"/>
  <c r="Y502" i="1" s="1"/>
  <c r="Y503" i="1" s="1"/>
  <c r="Y504" i="1" s="1"/>
  <c r="Y505" i="1" s="1"/>
  <c r="Y506" i="1" s="1"/>
  <c r="Y507" i="1" s="1"/>
  <c r="Y508" i="1" s="1"/>
  <c r="Y509" i="1" s="1"/>
  <c r="Y510" i="1" s="1"/>
  <c r="Y511" i="1" s="1"/>
  <c r="Y512" i="1" s="1"/>
  <c r="Y513" i="1" s="1"/>
  <c r="Y514" i="1" s="1"/>
  <c r="Y515" i="1" s="1"/>
  <c r="Y516" i="1" s="1"/>
  <c r="Y517" i="1" s="1"/>
  <c r="Y518" i="1" s="1"/>
  <c r="Y519" i="1" s="1"/>
  <c r="Y520" i="1" s="1"/>
  <c r="Y521" i="1" s="1"/>
  <c r="Y522" i="1" s="1"/>
  <c r="Y523" i="1" s="1"/>
  <c r="Y524" i="1" s="1"/>
  <c r="Y525" i="1" s="1"/>
  <c r="Y526" i="1" s="1"/>
  <c r="Y527" i="1" s="1"/>
  <c r="Y528" i="1" s="1"/>
  <c r="Y529" i="1" s="1"/>
  <c r="Y530" i="1" s="1"/>
  <c r="Y531" i="1" s="1"/>
  <c r="Y532" i="1" s="1"/>
  <c r="Y533" i="1" s="1"/>
  <c r="Y534" i="1" s="1"/>
  <c r="Y535" i="1" s="1"/>
  <c r="Y536" i="1" s="1"/>
  <c r="Y537" i="1" s="1"/>
  <c r="Y538" i="1" s="1"/>
  <c r="Y539" i="1" s="1"/>
  <c r="Y540" i="1" s="1"/>
  <c r="Y541" i="1" s="1"/>
  <c r="Y542" i="1" s="1"/>
  <c r="Y543" i="1" s="1"/>
  <c r="Y544" i="1" s="1"/>
  <c r="Y545" i="1" s="1"/>
  <c r="Y546" i="1" s="1"/>
  <c r="Y547" i="1" s="1"/>
  <c r="Y548" i="1" s="1"/>
  <c r="Y549" i="1" s="1"/>
  <c r="Y550" i="1" s="1"/>
  <c r="Y551" i="1" s="1"/>
  <c r="Y7" i="3"/>
  <c r="Y11" i="3"/>
  <c r="Y15" i="3"/>
  <c r="Y34" i="3"/>
  <c r="AB269" i="3" l="1"/>
  <c r="AB233" i="3"/>
  <c r="AB249" i="3"/>
  <c r="AU205" i="3"/>
  <c r="AU119" i="3"/>
  <c r="F118" i="4" s="1"/>
  <c r="AU33" i="3"/>
  <c r="F32" i="4" s="1"/>
  <c r="AU126" i="3"/>
  <c r="F125" i="4" s="1"/>
  <c r="AU39" i="3"/>
  <c r="F38" i="4" s="1"/>
  <c r="AU168" i="3"/>
  <c r="AU156" i="3"/>
  <c r="F155" i="4" s="1"/>
  <c r="AU103" i="3"/>
  <c r="F102" i="4" s="1"/>
  <c r="AU32" i="3"/>
  <c r="F31" i="4" s="1"/>
  <c r="AU53" i="3"/>
  <c r="F52" i="4" s="1"/>
  <c r="AU209" i="3"/>
  <c r="AU252" i="3"/>
  <c r="AU196" i="3"/>
  <c r="AU181" i="3"/>
  <c r="AU169" i="3"/>
  <c r="AU245" i="3"/>
  <c r="AU175" i="3"/>
  <c r="AU180" i="3"/>
  <c r="AU174" i="3"/>
  <c r="AU272" i="3"/>
  <c r="AU187" i="3"/>
  <c r="AU198" i="3"/>
  <c r="AU275" i="3"/>
  <c r="AU21" i="3"/>
  <c r="F20" i="4" s="1"/>
  <c r="AU31" i="3"/>
  <c r="F30" i="4" s="1"/>
  <c r="AU219" i="3"/>
  <c r="AU25" i="3"/>
  <c r="F24" i="4" s="1"/>
  <c r="AU87" i="3"/>
  <c r="F86" i="4" s="1"/>
  <c r="AU130" i="3"/>
  <c r="F129" i="4" s="1"/>
  <c r="AU157" i="3"/>
  <c r="F156" i="4" s="1"/>
  <c r="AU155" i="3"/>
  <c r="F154" i="4" s="1"/>
  <c r="AU110" i="3"/>
  <c r="F109" i="4" s="1"/>
  <c r="AU233" i="3"/>
  <c r="AU225" i="3"/>
  <c r="AU57" i="3"/>
  <c r="F56" i="4" s="1"/>
  <c r="AU101" i="3"/>
  <c r="F100" i="4" s="1"/>
  <c r="AU234" i="3"/>
  <c r="AU60" i="3"/>
  <c r="F59" i="4" s="1"/>
  <c r="AU52" i="3"/>
  <c r="F51" i="4" s="1"/>
  <c r="AU188" i="3"/>
  <c r="AU68" i="3"/>
  <c r="F67" i="4" s="1"/>
  <c r="AU85" i="3"/>
  <c r="F84" i="4" s="1"/>
  <c r="AU257" i="3"/>
  <c r="AU97" i="3"/>
  <c r="F96" i="4" s="1"/>
  <c r="AU212" i="3"/>
  <c r="AU123" i="3"/>
  <c r="F122" i="4" s="1"/>
  <c r="AU135" i="3"/>
  <c r="F134" i="4" s="1"/>
  <c r="AU106" i="3"/>
  <c r="F105" i="4" s="1"/>
  <c r="AU202" i="3"/>
  <c r="AU34" i="3"/>
  <c r="F33" i="4" s="1"/>
  <c r="AU73" i="3"/>
  <c r="F72" i="4" s="1"/>
  <c r="AU17" i="3"/>
  <c r="F16" i="4" s="1"/>
  <c r="AU228" i="3"/>
  <c r="AU37" i="3"/>
  <c r="F36" i="4" s="1"/>
  <c r="AU56" i="3"/>
  <c r="F55" i="4" s="1"/>
  <c r="AU30" i="3"/>
  <c r="F29" i="4" s="1"/>
  <c r="AU242" i="3"/>
  <c r="AU69" i="3"/>
  <c r="F68" i="4" s="1"/>
  <c r="AU197" i="3"/>
  <c r="AU207" i="3"/>
  <c r="AU113" i="3"/>
  <c r="F112" i="4" s="1"/>
  <c r="AU160" i="3"/>
  <c r="F159" i="4" s="1"/>
  <c r="AU208" i="3"/>
  <c r="AU23" i="3"/>
  <c r="F22" i="4" s="1"/>
  <c r="AU201" i="3"/>
  <c r="AU184" i="3"/>
  <c r="AU138" i="3"/>
  <c r="F137" i="4" s="1"/>
  <c r="AU96" i="3"/>
  <c r="F95" i="4" s="1"/>
  <c r="AU112" i="3"/>
  <c r="F111" i="4" s="1"/>
  <c r="AU247" i="3"/>
  <c r="AU61" i="3"/>
  <c r="F60" i="4" s="1"/>
  <c r="AU48" i="3"/>
  <c r="F47" i="4" s="1"/>
  <c r="AU230" i="3"/>
  <c r="AU235" i="3"/>
  <c r="AU116" i="3"/>
  <c r="F115" i="4" s="1"/>
  <c r="AU167" i="3"/>
  <c r="AU185" i="3"/>
  <c r="AU117" i="3"/>
  <c r="F116" i="4" s="1"/>
  <c r="AU273" i="3"/>
  <c r="AU122" i="3"/>
  <c r="F121" i="4" s="1"/>
  <c r="AU144" i="3"/>
  <c r="F143" i="4" s="1"/>
  <c r="AU150" i="3"/>
  <c r="F149" i="4" s="1"/>
  <c r="AU124" i="3"/>
  <c r="F123" i="4" s="1"/>
  <c r="AU108" i="3"/>
  <c r="F107" i="4" s="1"/>
  <c r="AU63" i="3"/>
  <c r="F62" i="4" s="1"/>
  <c r="AU100" i="3"/>
  <c r="F99" i="4" s="1"/>
  <c r="AU154" i="3"/>
  <c r="F153" i="4" s="1"/>
  <c r="AU194" i="3"/>
  <c r="AU270" i="3"/>
  <c r="AU216" i="3"/>
  <c r="AU19" i="3"/>
  <c r="F18" i="4" s="1"/>
  <c r="AU83" i="3"/>
  <c r="F82" i="4" s="1"/>
  <c r="AU253" i="3"/>
  <c r="AU170" i="3"/>
  <c r="AU70" i="3"/>
  <c r="F69" i="4" s="1"/>
  <c r="AU121" i="3"/>
  <c r="F120" i="4" s="1"/>
  <c r="AU251" i="3"/>
  <c r="AU222" i="3"/>
  <c r="AU173" i="3"/>
  <c r="AU189" i="3"/>
  <c r="AU44" i="3"/>
  <c r="F43" i="4" s="1"/>
  <c r="AU26" i="3"/>
  <c r="F25" i="4" s="1"/>
  <c r="AU220" i="3"/>
  <c r="AU218" i="3"/>
  <c r="AU92" i="3"/>
  <c r="F91" i="4" s="1"/>
  <c r="AU261" i="3"/>
  <c r="AU132" i="3"/>
  <c r="F131" i="4" s="1"/>
  <c r="AU18" i="3"/>
  <c r="F17" i="4" s="1"/>
  <c r="AU236" i="3"/>
  <c r="AU195" i="3"/>
  <c r="AU90" i="3"/>
  <c r="F89" i="4" s="1"/>
  <c r="AU16" i="3"/>
  <c r="F15" i="4" s="1"/>
  <c r="AU211" i="3"/>
  <c r="AU153" i="3"/>
  <c r="F152" i="4" s="1"/>
  <c r="AU217" i="3"/>
  <c r="AU94" i="3"/>
  <c r="F93" i="4" s="1"/>
  <c r="AU54" i="3"/>
  <c r="F53" i="4" s="1"/>
  <c r="AU127" i="3"/>
  <c r="F126" i="4" s="1"/>
  <c r="AU129" i="3"/>
  <c r="F128" i="4" s="1"/>
  <c r="AU79" i="3"/>
  <c r="F78" i="4" s="1"/>
  <c r="AU224" i="3"/>
  <c r="AU258" i="3"/>
  <c r="AU159" i="3"/>
  <c r="F158" i="4" s="1"/>
  <c r="AU203" i="3"/>
  <c r="AU107" i="3"/>
  <c r="F106" i="4" s="1"/>
  <c r="AU146" i="3"/>
  <c r="F145" i="4" s="1"/>
  <c r="AU264" i="3"/>
  <c r="AU55" i="3"/>
  <c r="F54" i="4" s="1"/>
  <c r="AU62" i="3"/>
  <c r="F61" i="4" s="1"/>
  <c r="AU47" i="3"/>
  <c r="F46" i="4" s="1"/>
  <c r="AU240" i="3"/>
  <c r="AU114" i="3"/>
  <c r="F113" i="4" s="1"/>
  <c r="AU89" i="3"/>
  <c r="F88" i="4" s="1"/>
  <c r="AU177" i="3"/>
  <c r="AU118" i="3"/>
  <c r="F117" i="4" s="1"/>
  <c r="AU50" i="3"/>
  <c r="F49" i="4" s="1"/>
  <c r="AU250" i="3"/>
  <c r="AU20" i="3"/>
  <c r="F19" i="4" s="1"/>
  <c r="AU29" i="3"/>
  <c r="F28" i="4" s="1"/>
  <c r="AU244" i="3"/>
  <c r="AU152" i="3"/>
  <c r="F151" i="4" s="1"/>
  <c r="AU227" i="3"/>
  <c r="AU259" i="3"/>
  <c r="AU120" i="3"/>
  <c r="F119" i="4" s="1"/>
  <c r="AU148" i="3"/>
  <c r="F147" i="4" s="1"/>
  <c r="AU237" i="3"/>
  <c r="AU115" i="3"/>
  <c r="F114" i="4" s="1"/>
  <c r="AU239" i="3"/>
  <c r="AU81" i="3"/>
  <c r="F80" i="4" s="1"/>
  <c r="AU231" i="3"/>
  <c r="AU213" i="3"/>
  <c r="AU263" i="3"/>
  <c r="AU45" i="3"/>
  <c r="F44" i="4" s="1"/>
  <c r="AU136" i="3"/>
  <c r="F135" i="4" s="1"/>
  <c r="AU163" i="3"/>
  <c r="AU255" i="3"/>
  <c r="AU46" i="3"/>
  <c r="F45" i="4" s="1"/>
  <c r="AU229" i="3"/>
  <c r="AU27" i="3"/>
  <c r="F26" i="4" s="1"/>
  <c r="AU199" i="3"/>
  <c r="AU35" i="3"/>
  <c r="F34" i="4" s="1"/>
  <c r="AU71" i="3"/>
  <c r="F70" i="4" s="1"/>
  <c r="AU191" i="3"/>
  <c r="AU215" i="3"/>
  <c r="AU254" i="3"/>
  <c r="AU265" i="3"/>
  <c r="AU206" i="3"/>
  <c r="AU80" i="3"/>
  <c r="F79" i="4" s="1"/>
  <c r="AU179" i="3"/>
  <c r="AU178" i="3"/>
  <c r="AU65" i="3"/>
  <c r="F64" i="4" s="1"/>
  <c r="AU200" i="3"/>
  <c r="AU238" i="3"/>
  <c r="AU38" i="3"/>
  <c r="F37" i="4" s="1"/>
  <c r="AU133" i="3"/>
  <c r="F132" i="4" s="1"/>
  <c r="AU142" i="3"/>
  <c r="F141" i="4" s="1"/>
  <c r="AU172" i="3"/>
  <c r="AU28" i="3"/>
  <c r="F27" i="4" s="1"/>
  <c r="AU147" i="3"/>
  <c r="F146" i="4" s="1"/>
  <c r="AU256" i="3"/>
  <c r="AU221" i="3"/>
  <c r="AU91" i="3"/>
  <c r="F90" i="4" s="1"/>
  <c r="AU149" i="3"/>
  <c r="F148" i="4" s="1"/>
  <c r="AU210" i="3"/>
  <c r="AU141" i="3"/>
  <c r="F140" i="4" s="1"/>
  <c r="AU139" i="3"/>
  <c r="F138" i="4" s="1"/>
  <c r="AU58" i="3"/>
  <c r="F57" i="4" s="1"/>
  <c r="AU98" i="3"/>
  <c r="F97" i="4" s="1"/>
  <c r="AU131" i="3"/>
  <c r="F130" i="4" s="1"/>
  <c r="AU137" i="3"/>
  <c r="F136" i="4" s="1"/>
  <c r="AU111" i="3"/>
  <c r="F110" i="4" s="1"/>
  <c r="AU22" i="3"/>
  <c r="F21" i="4" s="1"/>
  <c r="AU140" i="3"/>
  <c r="F139" i="4" s="1"/>
  <c r="AU161" i="3"/>
  <c r="F160" i="4" s="1"/>
  <c r="AU226" i="3"/>
  <c r="AU186" i="3"/>
  <c r="AU193" i="3"/>
  <c r="AU260" i="3"/>
  <c r="AU266" i="3"/>
  <c r="AU82" i="3"/>
  <c r="F81" i="4" s="1"/>
  <c r="AU274" i="3"/>
  <c r="AU67" i="3"/>
  <c r="F66" i="4" s="1"/>
  <c r="AU271" i="3"/>
  <c r="AU105" i="3"/>
  <c r="F104" i="4" s="1"/>
  <c r="AU42" i="3"/>
  <c r="F41" i="4" s="1"/>
  <c r="AU75" i="3"/>
  <c r="F74" i="4" s="1"/>
  <c r="AU223" i="3"/>
  <c r="AU36" i="3"/>
  <c r="F35" i="4" s="1"/>
  <c r="AU171" i="3"/>
  <c r="AU143" i="3"/>
  <c r="F142" i="4" s="1"/>
  <c r="AU190" i="3"/>
  <c r="AU248" i="3"/>
  <c r="AU204" i="3"/>
  <c r="AU72" i="3"/>
  <c r="F71" i="4" s="1"/>
  <c r="AU192" i="3"/>
  <c r="AU249" i="3"/>
  <c r="AU134" i="3"/>
  <c r="F133" i="4" s="1"/>
  <c r="AU128" i="3"/>
  <c r="F127" i="4" s="1"/>
  <c r="AU24" i="3"/>
  <c r="F23" i="4" s="1"/>
  <c r="AU43" i="3"/>
  <c r="F42" i="4" s="1"/>
  <c r="AU66" i="3"/>
  <c r="F65" i="4" s="1"/>
  <c r="AU59" i="3"/>
  <c r="F58" i="4" s="1"/>
  <c r="AU151" i="3"/>
  <c r="F150" i="4" s="1"/>
  <c r="AU125" i="3"/>
  <c r="F124" i="4" s="1"/>
  <c r="AU51" i="3"/>
  <c r="F50" i="4" s="1"/>
  <c r="AU76" i="3"/>
  <c r="F75" i="4" s="1"/>
  <c r="AU176" i="3"/>
  <c r="AU41" i="3"/>
  <c r="F40" i="4" s="1"/>
  <c r="AU164" i="3"/>
  <c r="AU102" i="3"/>
  <c r="F101" i="4" s="1"/>
  <c r="AU182" i="3"/>
  <c r="AU64" i="3"/>
  <c r="F63" i="4" s="1"/>
  <c r="AU77" i="3"/>
  <c r="F76" i="4" s="1"/>
  <c r="AU95" i="3"/>
  <c r="F94" i="4" s="1"/>
  <c r="AU74" i="3"/>
  <c r="F73" i="4" s="1"/>
  <c r="AU84" i="3"/>
  <c r="F83" i="4" s="1"/>
  <c r="AU49" i="3"/>
  <c r="F48" i="4" s="1"/>
  <c r="AU243" i="3"/>
  <c r="AU158" i="3"/>
  <c r="F157" i="4" s="1"/>
  <c r="AU269" i="3"/>
  <c r="AU214" i="3"/>
  <c r="AU183" i="3"/>
  <c r="AU246" i="3"/>
  <c r="AU166" i="3"/>
  <c r="AU162" i="3"/>
  <c r="AU99" i="3"/>
  <c r="F98" i="4" s="1"/>
  <c r="AU86" i="3"/>
  <c r="F85" i="4" s="1"/>
  <c r="AU165" i="3"/>
  <c r="AU232" i="3"/>
  <c r="AU268" i="3"/>
  <c r="AU109" i="3"/>
  <c r="F108" i="4" s="1"/>
  <c r="AU145" i="3"/>
  <c r="F144" i="4" s="1"/>
  <c r="AU262" i="3"/>
  <c r="AU93" i="3"/>
  <c r="F92" i="4" s="1"/>
  <c r="AU88" i="3"/>
  <c r="F87" i="4" s="1"/>
  <c r="AU267" i="3"/>
  <c r="AU241" i="3"/>
  <c r="AU78" i="3"/>
  <c r="F77" i="4" s="1"/>
  <c r="AU104" i="3"/>
  <c r="F103" i="4" s="1"/>
  <c r="AU40" i="3"/>
  <c r="F39" i="4" s="1"/>
  <c r="AU10" i="3"/>
  <c r="F9" i="4" s="1"/>
  <c r="AU11" i="3"/>
  <c r="F10" i="4" s="1"/>
  <c r="AU8" i="3"/>
  <c r="F7" i="4" s="1"/>
  <c r="AO4" i="3"/>
  <c r="AU9" i="3"/>
  <c r="F8" i="4" s="1"/>
  <c r="AU14" i="3"/>
  <c r="F13" i="4" s="1"/>
  <c r="AU15" i="3"/>
  <c r="F14" i="4" s="1"/>
  <c r="AU7" i="3"/>
  <c r="AU13" i="3"/>
  <c r="F12" i="4" s="1"/>
  <c r="AU12" i="3"/>
  <c r="F11" i="4" s="1"/>
  <c r="A14" i="8"/>
  <c r="A14" i="5"/>
  <c r="AI40" i="3"/>
  <c r="J39" i="5" s="1"/>
  <c r="AH40" i="3"/>
  <c r="I39" i="5" s="1"/>
  <c r="H39" i="5"/>
  <c r="L39" i="8"/>
  <c r="AH253" i="3"/>
  <c r="AI253" i="3"/>
  <c r="L69" i="8"/>
  <c r="H69" i="5"/>
  <c r="AH70" i="3"/>
  <c r="I69" i="5" s="1"/>
  <c r="AI70" i="3"/>
  <c r="J69" i="5" s="1"/>
  <c r="AH134" i="3"/>
  <c r="I133" i="5" s="1"/>
  <c r="H133" i="5"/>
  <c r="AI134" i="3"/>
  <c r="J133" i="5" s="1"/>
  <c r="L133" i="8"/>
  <c r="AI236" i="3"/>
  <c r="AH236" i="3"/>
  <c r="C79" i="5"/>
  <c r="AC80" i="3"/>
  <c r="E79" i="5" s="1"/>
  <c r="C79" i="8"/>
  <c r="C21" i="5"/>
  <c r="C21" i="8"/>
  <c r="AC22" i="3"/>
  <c r="E21" i="5" s="1"/>
  <c r="C108" i="8"/>
  <c r="AC109" i="3"/>
  <c r="E108" i="5" s="1"/>
  <c r="C108" i="5"/>
  <c r="AI193" i="3"/>
  <c r="J192" i="5" s="1"/>
  <c r="AH193" i="3"/>
  <c r="I192" i="5" s="1"/>
  <c r="H192" i="5"/>
  <c r="L192" i="8"/>
  <c r="AC119" i="3"/>
  <c r="E118" i="5" s="1"/>
  <c r="C118" i="8"/>
  <c r="C118" i="5"/>
  <c r="AB253" i="3"/>
  <c r="AI244" i="3"/>
  <c r="AH244" i="3"/>
  <c r="AH169" i="3"/>
  <c r="I168" i="5" s="1"/>
  <c r="H168" i="5"/>
  <c r="L168" i="8"/>
  <c r="AI169" i="3"/>
  <c r="J168" i="5" s="1"/>
  <c r="C196" i="5"/>
  <c r="AC197" i="3"/>
  <c r="E196" i="5" s="1"/>
  <c r="C196" i="8"/>
  <c r="AI235" i="3"/>
  <c r="AH235" i="3"/>
  <c r="AC59" i="3"/>
  <c r="E58" i="5" s="1"/>
  <c r="C58" i="8"/>
  <c r="C58" i="5"/>
  <c r="C40" i="8"/>
  <c r="C40" i="5"/>
  <c r="AC41" i="3"/>
  <c r="E40" i="5" s="1"/>
  <c r="AH267" i="3"/>
  <c r="AI267" i="3"/>
  <c r="C55" i="8"/>
  <c r="AC56" i="3"/>
  <c r="E55" i="5" s="1"/>
  <c r="C55" i="5"/>
  <c r="AC123" i="3"/>
  <c r="E122" i="5" s="1"/>
  <c r="C122" i="5"/>
  <c r="C122" i="8"/>
  <c r="AH214" i="3"/>
  <c r="AI214" i="3"/>
  <c r="L118" i="8"/>
  <c r="H118" i="5"/>
  <c r="AI119" i="3"/>
  <c r="J118" i="5" s="1"/>
  <c r="AH119" i="3"/>
  <c r="I118" i="5" s="1"/>
  <c r="H53" i="5"/>
  <c r="L53" i="8"/>
  <c r="AH54" i="3"/>
  <c r="I53" i="5" s="1"/>
  <c r="AI54" i="3"/>
  <c r="J53" i="5" s="1"/>
  <c r="AC118" i="3"/>
  <c r="E117" i="5" s="1"/>
  <c r="C117" i="8"/>
  <c r="C117" i="5"/>
  <c r="AI220" i="3"/>
  <c r="AH220" i="3"/>
  <c r="C9" i="5"/>
  <c r="C9" i="8"/>
  <c r="C89" i="5"/>
  <c r="C89" i="8"/>
  <c r="AC90" i="3"/>
  <c r="E89" i="5" s="1"/>
  <c r="AC40" i="3"/>
  <c r="E39" i="5" s="1"/>
  <c r="C39" i="5"/>
  <c r="C39" i="8"/>
  <c r="C133" i="5"/>
  <c r="C133" i="8"/>
  <c r="AC134" i="3"/>
  <c r="E133" i="5" s="1"/>
  <c r="AC182" i="3"/>
  <c r="E181" i="5" s="1"/>
  <c r="C181" i="5"/>
  <c r="C181" i="8"/>
  <c r="AI258" i="3"/>
  <c r="AH258" i="3"/>
  <c r="C78" i="8"/>
  <c r="C78" i="5"/>
  <c r="AC79" i="3"/>
  <c r="E78" i="5" s="1"/>
  <c r="AH191" i="3"/>
  <c r="I190" i="5" s="1"/>
  <c r="L190" i="8"/>
  <c r="H190" i="5"/>
  <c r="AI191" i="3"/>
  <c r="J190" i="5" s="1"/>
  <c r="C160" i="8"/>
  <c r="C160" i="5"/>
  <c r="AC161" i="3"/>
  <c r="E160" i="5" s="1"/>
  <c r="H175" i="5"/>
  <c r="AH176" i="3"/>
  <c r="I175" i="5" s="1"/>
  <c r="AI176" i="3"/>
  <c r="J175" i="5" s="1"/>
  <c r="L175" i="8"/>
  <c r="C67" i="5"/>
  <c r="AC68" i="3"/>
  <c r="E67" i="5" s="1"/>
  <c r="C67" i="8"/>
  <c r="AB213" i="3"/>
  <c r="AB265" i="3"/>
  <c r="AB238" i="3"/>
  <c r="AI222" i="3"/>
  <c r="AH222" i="3"/>
  <c r="H173" i="5"/>
  <c r="AH174" i="3"/>
  <c r="I173" i="5" s="1"/>
  <c r="AI174" i="3"/>
  <c r="J173" i="5" s="1"/>
  <c r="L173" i="8"/>
  <c r="C95" i="5"/>
  <c r="C95" i="8"/>
  <c r="AC96" i="3"/>
  <c r="E95" i="5" s="1"/>
  <c r="C193" i="5"/>
  <c r="AC194" i="3"/>
  <c r="E193" i="5" s="1"/>
  <c r="C193" i="8"/>
  <c r="AH32" i="3"/>
  <c r="I31" i="5" s="1"/>
  <c r="H31" i="5"/>
  <c r="L31" i="8"/>
  <c r="AI32" i="3"/>
  <c r="J31" i="5" s="1"/>
  <c r="AH141" i="3"/>
  <c r="I140" i="5" s="1"/>
  <c r="H140" i="5"/>
  <c r="AI141" i="3"/>
  <c r="J140" i="5" s="1"/>
  <c r="L140" i="8"/>
  <c r="AC132" i="3"/>
  <c r="E131" i="5" s="1"/>
  <c r="C131" i="8"/>
  <c r="C131" i="5"/>
  <c r="C142" i="5"/>
  <c r="C142" i="8"/>
  <c r="AC143" i="3"/>
  <c r="E142" i="5" s="1"/>
  <c r="H96" i="5"/>
  <c r="L96" i="8"/>
  <c r="AH97" i="3"/>
  <c r="I96" i="5" s="1"/>
  <c r="AI97" i="3"/>
  <c r="J96" i="5" s="1"/>
  <c r="C37" i="5"/>
  <c r="C37" i="8"/>
  <c r="AC38" i="3"/>
  <c r="E37" i="5" s="1"/>
  <c r="C61" i="8"/>
  <c r="AC62" i="3"/>
  <c r="E61" i="5" s="1"/>
  <c r="C61" i="5"/>
  <c r="H184" i="5"/>
  <c r="AI185" i="3"/>
  <c r="J184" i="5" s="1"/>
  <c r="AH185" i="3"/>
  <c r="I184" i="5" s="1"/>
  <c r="L184" i="8"/>
  <c r="AH188" i="3"/>
  <c r="I187" i="5" s="1"/>
  <c r="L187" i="8"/>
  <c r="AI188" i="3"/>
  <c r="J187" i="5" s="1"/>
  <c r="H187" i="5"/>
  <c r="AC98" i="3"/>
  <c r="E97" i="5" s="1"/>
  <c r="C97" i="5"/>
  <c r="C97" i="8"/>
  <c r="AI125" i="3"/>
  <c r="J124" i="5" s="1"/>
  <c r="H124" i="5"/>
  <c r="L124" i="8"/>
  <c r="AH125" i="3"/>
  <c r="I124" i="5" s="1"/>
  <c r="AC64" i="3"/>
  <c r="E63" i="5" s="1"/>
  <c r="C63" i="5"/>
  <c r="C63" i="8"/>
  <c r="C47" i="5"/>
  <c r="C47" i="8"/>
  <c r="AC48" i="3"/>
  <c r="E47" i="5" s="1"/>
  <c r="C14" i="5"/>
  <c r="C14" i="8"/>
  <c r="AC15" i="3"/>
  <c r="E14" i="5" s="1"/>
  <c r="C27" i="5"/>
  <c r="C27" i="8"/>
  <c r="AC28" i="3"/>
  <c r="E27" i="5" s="1"/>
  <c r="C53" i="8"/>
  <c r="AC54" i="3"/>
  <c r="E53" i="5" s="1"/>
  <c r="C53" i="5"/>
  <c r="C35" i="5"/>
  <c r="C35" i="8"/>
  <c r="AC36" i="3"/>
  <c r="E35" i="5" s="1"/>
  <c r="AI55" i="3"/>
  <c r="J54" i="5" s="1"/>
  <c r="L54" i="8"/>
  <c r="AH55" i="3"/>
  <c r="I54" i="5" s="1"/>
  <c r="H54" i="5"/>
  <c r="AI124" i="3"/>
  <c r="J123" i="5" s="1"/>
  <c r="AH124" i="3"/>
  <c r="I123" i="5" s="1"/>
  <c r="L123" i="8"/>
  <c r="H123" i="5"/>
  <c r="AI211" i="3"/>
  <c r="AH211" i="3"/>
  <c r="AH173" i="3"/>
  <c r="I172" i="5" s="1"/>
  <c r="H172" i="5"/>
  <c r="AI173" i="3"/>
  <c r="J172" i="5" s="1"/>
  <c r="L172" i="8"/>
  <c r="C111" i="8"/>
  <c r="AC112" i="3"/>
  <c r="E111" i="5" s="1"/>
  <c r="C111" i="5"/>
  <c r="AC201" i="3"/>
  <c r="E200" i="5" s="1"/>
  <c r="C200" i="5"/>
  <c r="C34" i="8"/>
  <c r="C34" i="5"/>
  <c r="AC35" i="3"/>
  <c r="E34" i="5" s="1"/>
  <c r="AH241" i="3"/>
  <c r="AI241" i="3"/>
  <c r="AI123" i="3"/>
  <c r="J122" i="5" s="1"/>
  <c r="L122" i="8"/>
  <c r="H122" i="5"/>
  <c r="AH123" i="3"/>
  <c r="I122" i="5" s="1"/>
  <c r="AI77" i="3"/>
  <c r="J76" i="5" s="1"/>
  <c r="L76" i="8"/>
  <c r="H76" i="5"/>
  <c r="AH77" i="3"/>
  <c r="I76" i="5" s="1"/>
  <c r="AH61" i="3"/>
  <c r="I60" i="5" s="1"/>
  <c r="H60" i="5"/>
  <c r="AI61" i="3"/>
  <c r="J60" i="5" s="1"/>
  <c r="L60" i="8"/>
  <c r="C42" i="5"/>
  <c r="C42" i="8"/>
  <c r="AC43" i="3"/>
  <c r="E42" i="5" s="1"/>
  <c r="L83" i="8"/>
  <c r="AI84" i="3"/>
  <c r="J83" i="5" s="1"/>
  <c r="AH84" i="3"/>
  <c r="I83" i="5" s="1"/>
  <c r="H83" i="5"/>
  <c r="AB216" i="3"/>
  <c r="AB214" i="3"/>
  <c r="AB235" i="3"/>
  <c r="C110" i="8"/>
  <c r="AC111" i="3"/>
  <c r="E110" i="5" s="1"/>
  <c r="C110" i="5"/>
  <c r="L149" i="8"/>
  <c r="H149" i="5"/>
  <c r="AI150" i="3"/>
  <c r="J149" i="5" s="1"/>
  <c r="AH150" i="3"/>
  <c r="I149" i="5" s="1"/>
  <c r="C103" i="8"/>
  <c r="C103" i="5"/>
  <c r="AC104" i="3"/>
  <c r="E103" i="5" s="1"/>
  <c r="AC141" i="3"/>
  <c r="E140" i="5" s="1"/>
  <c r="C140" i="5"/>
  <c r="C140" i="8"/>
  <c r="C165" i="8"/>
  <c r="AC166" i="3"/>
  <c r="E165" i="5" s="1"/>
  <c r="C165" i="5"/>
  <c r="C88" i="5"/>
  <c r="C88" i="8"/>
  <c r="AC89" i="3"/>
  <c r="E88" i="5" s="1"/>
  <c r="L17" i="8"/>
  <c r="H17" i="5"/>
  <c r="AH18" i="3"/>
  <c r="I17" i="5" s="1"/>
  <c r="AI18" i="3"/>
  <c r="J17" i="5" s="1"/>
  <c r="L19" i="8"/>
  <c r="AH20" i="3"/>
  <c r="I19" i="5" s="1"/>
  <c r="H19" i="5"/>
  <c r="C13" i="8"/>
  <c r="C13" i="5"/>
  <c r="AH232" i="3"/>
  <c r="AI232" i="3"/>
  <c r="C126" i="8"/>
  <c r="C126" i="5"/>
  <c r="AC127" i="3"/>
  <c r="E126" i="5" s="1"/>
  <c r="AH223" i="3"/>
  <c r="AI223" i="3"/>
  <c r="C52" i="8"/>
  <c r="AC53" i="3"/>
  <c r="E52" i="5" s="1"/>
  <c r="C52" i="5"/>
  <c r="C48" i="5"/>
  <c r="C48" i="8"/>
  <c r="AC49" i="3"/>
  <c r="E48" i="5" s="1"/>
  <c r="L100" i="8"/>
  <c r="AI101" i="3"/>
  <c r="J100" i="5" s="1"/>
  <c r="AH101" i="3"/>
  <c r="I100" i="5" s="1"/>
  <c r="H100" i="5"/>
  <c r="AI104" i="3"/>
  <c r="J103" i="5" s="1"/>
  <c r="AH104" i="3"/>
  <c r="I103" i="5" s="1"/>
  <c r="L103" i="8"/>
  <c r="H103" i="5"/>
  <c r="C141" i="8"/>
  <c r="C141" i="5"/>
  <c r="AC142" i="3"/>
  <c r="E141" i="5" s="1"/>
  <c r="AI213" i="3"/>
  <c r="AH213" i="3"/>
  <c r="AI142" i="3"/>
  <c r="J141" i="5" s="1"/>
  <c r="AH142" i="3"/>
  <c r="I141" i="5" s="1"/>
  <c r="H141" i="5"/>
  <c r="L141" i="8"/>
  <c r="C173" i="5"/>
  <c r="C173" i="8"/>
  <c r="AC174" i="3"/>
  <c r="E173" i="5" s="1"/>
  <c r="AI64" i="3"/>
  <c r="J63" i="5" s="1"/>
  <c r="L63" i="8"/>
  <c r="AH64" i="3"/>
  <c r="I63" i="5" s="1"/>
  <c r="H63" i="5"/>
  <c r="AI167" i="3"/>
  <c r="J166" i="5" s="1"/>
  <c r="L166" i="8"/>
  <c r="AH167" i="3"/>
  <c r="I166" i="5" s="1"/>
  <c r="H166" i="5"/>
  <c r="AI105" i="3"/>
  <c r="J104" i="5" s="1"/>
  <c r="H104" i="5"/>
  <c r="AH105" i="3"/>
  <c r="I104" i="5" s="1"/>
  <c r="L104" i="8"/>
  <c r="C186" i="5"/>
  <c r="AC187" i="3"/>
  <c r="E186" i="5" s="1"/>
  <c r="C186" i="8"/>
  <c r="AH147" i="3"/>
  <c r="I146" i="5" s="1"/>
  <c r="AI147" i="3"/>
  <c r="J146" i="5" s="1"/>
  <c r="H146" i="5"/>
  <c r="L146" i="8"/>
  <c r="AH270" i="3"/>
  <c r="AI270" i="3"/>
  <c r="AH143" i="3"/>
  <c r="I142" i="5" s="1"/>
  <c r="AI143" i="3"/>
  <c r="J142" i="5" s="1"/>
  <c r="L142" i="8"/>
  <c r="H142" i="5"/>
  <c r="AH262" i="3"/>
  <c r="AI262" i="3"/>
  <c r="H121" i="5"/>
  <c r="AI122" i="3"/>
  <c r="J121" i="5" s="1"/>
  <c r="AH122" i="3"/>
  <c r="I121" i="5" s="1"/>
  <c r="L121" i="8"/>
  <c r="AH115" i="3"/>
  <c r="I114" i="5" s="1"/>
  <c r="H114" i="5"/>
  <c r="AI115" i="3"/>
  <c r="J114" i="5" s="1"/>
  <c r="L114" i="8"/>
  <c r="AB204" i="3"/>
  <c r="AB215" i="3"/>
  <c r="AB40" i="3"/>
  <c r="D39" i="5" s="1"/>
  <c r="AB49" i="3"/>
  <c r="D48" i="5" s="1"/>
  <c r="AB203" i="3"/>
  <c r="AB229" i="3"/>
  <c r="AB242" i="3"/>
  <c r="C198" i="5"/>
  <c r="C198" i="8"/>
  <c r="AC199" i="3"/>
  <c r="E198" i="5" s="1"/>
  <c r="C194" i="5"/>
  <c r="C194" i="8"/>
  <c r="AC195" i="3"/>
  <c r="E194" i="5" s="1"/>
  <c r="C129" i="5"/>
  <c r="C129" i="8"/>
  <c r="AC130" i="3"/>
  <c r="E129" i="5" s="1"/>
  <c r="H153" i="5"/>
  <c r="AI154" i="3"/>
  <c r="J153" i="5" s="1"/>
  <c r="L153" i="8"/>
  <c r="AH154" i="3"/>
  <c r="I153" i="5" s="1"/>
  <c r="AI217" i="3"/>
  <c r="AH217" i="3"/>
  <c r="AI202" i="3"/>
  <c r="AH202" i="3"/>
  <c r="AH145" i="3"/>
  <c r="I144" i="5" s="1"/>
  <c r="H144" i="5"/>
  <c r="L144" i="8"/>
  <c r="AI145" i="3"/>
  <c r="J144" i="5" s="1"/>
  <c r="AH99" i="3"/>
  <c r="I98" i="5" s="1"/>
  <c r="L98" i="8"/>
  <c r="H98" i="5"/>
  <c r="AI99" i="3"/>
  <c r="J98" i="5" s="1"/>
  <c r="AH275" i="3"/>
  <c r="AI275" i="3"/>
  <c r="H78" i="5"/>
  <c r="L78" i="8"/>
  <c r="AI79" i="3"/>
  <c r="J78" i="5" s="1"/>
  <c r="AH79" i="3"/>
  <c r="I78" i="5" s="1"/>
  <c r="H15" i="5"/>
  <c r="AH16" i="3"/>
  <c r="I15" i="5" s="1"/>
  <c r="L15" i="8"/>
  <c r="AI16" i="3"/>
  <c r="J15" i="5" s="1"/>
  <c r="AI221" i="3"/>
  <c r="AH221" i="3"/>
  <c r="AI137" i="3"/>
  <c r="J136" i="5" s="1"/>
  <c r="L136" i="8"/>
  <c r="H136" i="5"/>
  <c r="AH137" i="3"/>
  <c r="I136" i="5" s="1"/>
  <c r="C195" i="8"/>
  <c r="AC196" i="3"/>
  <c r="E195" i="5" s="1"/>
  <c r="C195" i="5"/>
  <c r="AB59" i="3"/>
  <c r="D58" i="5" s="1"/>
  <c r="AB118" i="3"/>
  <c r="D117" i="5" s="1"/>
  <c r="C36" i="8"/>
  <c r="C36" i="5"/>
  <c r="AI181" i="3"/>
  <c r="J180" i="5" s="1"/>
  <c r="AH181" i="3"/>
  <c r="I180" i="5" s="1"/>
  <c r="H180" i="5"/>
  <c r="L180" i="8"/>
  <c r="C124" i="8"/>
  <c r="AC125" i="3"/>
  <c r="E124" i="5" s="1"/>
  <c r="C124" i="5"/>
  <c r="AH7" i="3"/>
  <c r="H6" i="5"/>
  <c r="AI7" i="3"/>
  <c r="L6" i="8"/>
  <c r="C60" i="8"/>
  <c r="C60" i="5"/>
  <c r="AC61" i="3"/>
  <c r="E60" i="5" s="1"/>
  <c r="C19" i="5"/>
  <c r="C19" i="8"/>
  <c r="AC20" i="3"/>
  <c r="E19" i="5" s="1"/>
  <c r="C73" i="5"/>
  <c r="C73" i="8"/>
  <c r="AC74" i="3"/>
  <c r="E73" i="5" s="1"/>
  <c r="C192" i="8"/>
  <c r="AC193" i="3"/>
  <c r="E192" i="5" s="1"/>
  <c r="C192" i="5"/>
  <c r="H43" i="5"/>
  <c r="L43" i="8"/>
  <c r="AI44" i="3"/>
  <c r="J43" i="5" s="1"/>
  <c r="AH44" i="3"/>
  <c r="I43" i="5" s="1"/>
  <c r="AB109" i="3"/>
  <c r="D108" i="5" s="1"/>
  <c r="AH35" i="3"/>
  <c r="I34" i="5" s="1"/>
  <c r="H34" i="5"/>
  <c r="L34" i="8"/>
  <c r="AB119" i="3"/>
  <c r="D118" i="5" s="1"/>
  <c r="C92" i="5"/>
  <c r="C92" i="8"/>
  <c r="AC93" i="3"/>
  <c r="E92" i="5" s="1"/>
  <c r="A33" i="5"/>
  <c r="A33" i="8"/>
  <c r="A10" i="5"/>
  <c r="A10" i="8"/>
  <c r="AI205" i="3"/>
  <c r="AH205" i="3"/>
  <c r="L59" i="8"/>
  <c r="AI60" i="3"/>
  <c r="J59" i="5" s="1"/>
  <c r="H59" i="5"/>
  <c r="AH60" i="3"/>
  <c r="I59" i="5" s="1"/>
  <c r="H58" i="5"/>
  <c r="AI59" i="3"/>
  <c r="J58" i="5" s="1"/>
  <c r="L58" i="8"/>
  <c r="AH59" i="3"/>
  <c r="I58" i="5" s="1"/>
  <c r="AH131" i="3"/>
  <c r="I130" i="5" s="1"/>
  <c r="H130" i="5"/>
  <c r="AI131" i="3"/>
  <c r="J130" i="5" s="1"/>
  <c r="L130" i="8"/>
  <c r="C120" i="5"/>
  <c r="C120" i="8"/>
  <c r="AC121" i="3"/>
  <c r="E120" i="5" s="1"/>
  <c r="H29" i="5"/>
  <c r="L29" i="8"/>
  <c r="AH30" i="3"/>
  <c r="I29" i="5" s="1"/>
  <c r="AI30" i="3"/>
  <c r="J29" i="5" s="1"/>
  <c r="AH256" i="3"/>
  <c r="AI256" i="3"/>
  <c r="AI230" i="3"/>
  <c r="AH230" i="3"/>
  <c r="AI96" i="3"/>
  <c r="J95" i="5" s="1"/>
  <c r="H95" i="5"/>
  <c r="L95" i="8"/>
  <c r="AH96" i="3"/>
  <c r="I95" i="5" s="1"/>
  <c r="C144" i="5"/>
  <c r="C144" i="8"/>
  <c r="AC145" i="3"/>
  <c r="E144" i="5" s="1"/>
  <c r="C189" i="5"/>
  <c r="C189" i="8"/>
  <c r="AC190" i="3"/>
  <c r="E189" i="5" s="1"/>
  <c r="C93" i="5"/>
  <c r="C93" i="8"/>
  <c r="AC94" i="3"/>
  <c r="E93" i="5" s="1"/>
  <c r="H49" i="5"/>
  <c r="AH50" i="3"/>
  <c r="I49" i="5" s="1"/>
  <c r="AI50" i="3"/>
  <c r="J49" i="5" s="1"/>
  <c r="L49" i="8"/>
  <c r="AH76" i="3"/>
  <c r="I75" i="5" s="1"/>
  <c r="H75" i="5"/>
  <c r="AI76" i="3"/>
  <c r="J75" i="5" s="1"/>
  <c r="L75" i="8"/>
  <c r="L52" i="8"/>
  <c r="AH53" i="3"/>
  <c r="I52" i="5" s="1"/>
  <c r="H52" i="5"/>
  <c r="AI53" i="3"/>
  <c r="J52" i="5" s="1"/>
  <c r="AH19" i="3"/>
  <c r="I18" i="5" s="1"/>
  <c r="H18" i="5"/>
  <c r="L18" i="8"/>
  <c r="AI19" i="3"/>
  <c r="J18" i="5" s="1"/>
  <c r="H167" i="5"/>
  <c r="L167" i="8"/>
  <c r="AH168" i="3"/>
  <c r="I167" i="5" s="1"/>
  <c r="AI168" i="3"/>
  <c r="J167" i="5" s="1"/>
  <c r="H156" i="5"/>
  <c r="L156" i="8"/>
  <c r="AI157" i="3"/>
  <c r="J156" i="5" s="1"/>
  <c r="AH157" i="3"/>
  <c r="I156" i="5" s="1"/>
  <c r="C15" i="5"/>
  <c r="C15" i="8"/>
  <c r="AC16" i="3"/>
  <c r="E15" i="5" s="1"/>
  <c r="C51" i="8"/>
  <c r="C51" i="5"/>
  <c r="AC52" i="3"/>
  <c r="E51" i="5" s="1"/>
  <c r="H125" i="5"/>
  <c r="L125" i="8"/>
  <c r="AI126" i="3"/>
  <c r="J125" i="5" s="1"/>
  <c r="AH126" i="3"/>
  <c r="I125" i="5" s="1"/>
  <c r="C22" i="5"/>
  <c r="C22" i="8"/>
  <c r="AC23" i="3"/>
  <c r="E22" i="5" s="1"/>
  <c r="AC92" i="3"/>
  <c r="E91" i="5" s="1"/>
  <c r="C91" i="5"/>
  <c r="C91" i="8"/>
  <c r="AI72" i="3"/>
  <c r="J71" i="5" s="1"/>
  <c r="H71" i="5"/>
  <c r="AH72" i="3"/>
  <c r="I71" i="5" s="1"/>
  <c r="L71" i="8"/>
  <c r="AC172" i="3"/>
  <c r="E171" i="5" s="1"/>
  <c r="C171" i="5"/>
  <c r="C171" i="8"/>
  <c r="C162" i="8"/>
  <c r="AC163" i="3"/>
  <c r="E162" i="5" s="1"/>
  <c r="C162" i="5"/>
  <c r="AI247" i="3"/>
  <c r="AH247" i="3"/>
  <c r="C49" i="8"/>
  <c r="C49" i="5"/>
  <c r="AC50" i="3"/>
  <c r="E49" i="5" s="1"/>
  <c r="AH65" i="3"/>
  <c r="I64" i="5" s="1"/>
  <c r="L64" i="8"/>
  <c r="AI65" i="3"/>
  <c r="J64" i="5" s="1"/>
  <c r="H64" i="5"/>
  <c r="C38" i="8"/>
  <c r="C38" i="5"/>
  <c r="L62" i="8"/>
  <c r="AI63" i="3"/>
  <c r="J62" i="5" s="1"/>
  <c r="AH63" i="3"/>
  <c r="I62" i="5" s="1"/>
  <c r="H62" i="5"/>
  <c r="AI249" i="3"/>
  <c r="AH249" i="3"/>
  <c r="AB255" i="3"/>
  <c r="AB250" i="3"/>
  <c r="AH57" i="3"/>
  <c r="I56" i="5" s="1"/>
  <c r="H56" i="5"/>
  <c r="AI57" i="3"/>
  <c r="J56" i="5" s="1"/>
  <c r="L56" i="8"/>
  <c r="AH12" i="3"/>
  <c r="I11" i="5" s="1"/>
  <c r="L11" i="8"/>
  <c r="H11" i="5"/>
  <c r="AI12" i="3"/>
  <c r="J11" i="5" s="1"/>
  <c r="H91" i="5"/>
  <c r="AH92" i="3"/>
  <c r="I91" i="5" s="1"/>
  <c r="AI92" i="3"/>
  <c r="J91" i="5" s="1"/>
  <c r="L91" i="8"/>
  <c r="H134" i="5"/>
  <c r="L134" i="8"/>
  <c r="AH135" i="3"/>
  <c r="I134" i="5" s="1"/>
  <c r="AI135" i="3"/>
  <c r="J134" i="5" s="1"/>
  <c r="L154" i="8"/>
  <c r="AH155" i="3"/>
  <c r="I154" i="5" s="1"/>
  <c r="H154" i="5"/>
  <c r="AI155" i="3"/>
  <c r="J154" i="5" s="1"/>
  <c r="C87" i="5"/>
  <c r="C87" i="8"/>
  <c r="AC88" i="3"/>
  <c r="E87" i="5" s="1"/>
  <c r="H90" i="5"/>
  <c r="AI91" i="3"/>
  <c r="J90" i="5" s="1"/>
  <c r="L90" i="8"/>
  <c r="AH91" i="3"/>
  <c r="I90" i="5" s="1"/>
  <c r="AH13" i="3"/>
  <c r="I12" i="5" s="1"/>
  <c r="L12" i="8"/>
  <c r="AI13" i="3"/>
  <c r="J12" i="5" s="1"/>
  <c r="H12" i="5"/>
  <c r="AH47" i="3"/>
  <c r="I46" i="5" s="1"/>
  <c r="L46" i="8"/>
  <c r="AI47" i="3"/>
  <c r="J46" i="5" s="1"/>
  <c r="H46" i="5"/>
  <c r="AH111" i="3"/>
  <c r="I110" i="5" s="1"/>
  <c r="H110" i="5"/>
  <c r="AI111" i="3"/>
  <c r="J110" i="5" s="1"/>
  <c r="L110" i="8"/>
  <c r="AI85" i="3"/>
  <c r="J84" i="5" s="1"/>
  <c r="L84" i="8"/>
  <c r="AH85" i="3"/>
  <c r="I84" i="5" s="1"/>
  <c r="H84" i="5"/>
  <c r="H127" i="5"/>
  <c r="AI128" i="3"/>
  <c r="J127" i="5" s="1"/>
  <c r="AH128" i="3"/>
  <c r="I127" i="5" s="1"/>
  <c r="L127" i="8"/>
  <c r="AC171" i="3"/>
  <c r="E170" i="5" s="1"/>
  <c r="C170" i="8"/>
  <c r="C170" i="5"/>
  <c r="AH269" i="3"/>
  <c r="AI269" i="3"/>
  <c r="C166" i="5"/>
  <c r="C166" i="8"/>
  <c r="AC167" i="3"/>
  <c r="E166" i="5" s="1"/>
  <c r="AH226" i="3"/>
  <c r="AI226" i="3"/>
  <c r="L30" i="8"/>
  <c r="AH31" i="3"/>
  <c r="I30" i="5" s="1"/>
  <c r="H30" i="5"/>
  <c r="AI31" i="3"/>
  <c r="J30" i="5" s="1"/>
  <c r="AI136" i="3"/>
  <c r="J135" i="5" s="1"/>
  <c r="L135" i="8"/>
  <c r="AH136" i="3"/>
  <c r="I135" i="5" s="1"/>
  <c r="H135" i="5"/>
  <c r="C128" i="5"/>
  <c r="C128" i="8"/>
  <c r="AC129" i="3"/>
  <c r="E128" i="5" s="1"/>
  <c r="C137" i="8"/>
  <c r="AC138" i="3"/>
  <c r="E137" i="5" s="1"/>
  <c r="C137" i="5"/>
  <c r="H132" i="5"/>
  <c r="L132" i="8"/>
  <c r="AH133" i="3"/>
  <c r="I132" i="5" s="1"/>
  <c r="AI133" i="3"/>
  <c r="J132" i="5" s="1"/>
  <c r="AI203" i="3"/>
  <c r="AH203" i="3"/>
  <c r="AC147" i="3"/>
  <c r="E146" i="5" s="1"/>
  <c r="C146" i="8"/>
  <c r="C146" i="5"/>
  <c r="AI144" i="3"/>
  <c r="J143" i="5" s="1"/>
  <c r="H143" i="5"/>
  <c r="AH144" i="3"/>
  <c r="I143" i="5" s="1"/>
  <c r="L143" i="8"/>
  <c r="AH95" i="3"/>
  <c r="I94" i="5" s="1"/>
  <c r="H94" i="5"/>
  <c r="AI95" i="3"/>
  <c r="J94" i="5" s="1"/>
  <c r="L94" i="8"/>
  <c r="AH82" i="3"/>
  <c r="I81" i="5" s="1"/>
  <c r="L81" i="8"/>
  <c r="AI82" i="3"/>
  <c r="J81" i="5" s="1"/>
  <c r="H81" i="5"/>
  <c r="L23" i="8"/>
  <c r="H23" i="5"/>
  <c r="AH24" i="3"/>
  <c r="I23" i="5" s="1"/>
  <c r="AI24" i="3"/>
  <c r="J23" i="5" s="1"/>
  <c r="H150" i="5"/>
  <c r="AI151" i="3"/>
  <c r="J150" i="5" s="1"/>
  <c r="AH151" i="3"/>
  <c r="I150" i="5" s="1"/>
  <c r="L150" i="8"/>
  <c r="AH215" i="3"/>
  <c r="AI215" i="3"/>
  <c r="C102" i="5"/>
  <c r="AC103" i="3"/>
  <c r="E102" i="5" s="1"/>
  <c r="C102" i="8"/>
  <c r="AC81" i="3"/>
  <c r="E80" i="5" s="1"/>
  <c r="C80" i="5"/>
  <c r="C80" i="8"/>
  <c r="AC131" i="3"/>
  <c r="E130" i="5" s="1"/>
  <c r="C130" i="8"/>
  <c r="C130" i="5"/>
  <c r="AH233" i="3"/>
  <c r="AI233" i="3"/>
  <c r="C44" i="8"/>
  <c r="C44" i="5"/>
  <c r="AC45" i="3"/>
  <c r="E44" i="5" s="1"/>
  <c r="AB245" i="3"/>
  <c r="AB263" i="3"/>
  <c r="L178" i="8"/>
  <c r="AI179" i="3"/>
  <c r="J178" i="5" s="1"/>
  <c r="AH179" i="3"/>
  <c r="I178" i="5" s="1"/>
  <c r="H178" i="5"/>
  <c r="AI109" i="3"/>
  <c r="J108" i="5" s="1"/>
  <c r="AH109" i="3"/>
  <c r="I108" i="5" s="1"/>
  <c r="H108" i="5"/>
  <c r="L108" i="8"/>
  <c r="AI67" i="3"/>
  <c r="J66" i="5" s="1"/>
  <c r="L66" i="8"/>
  <c r="H66" i="5"/>
  <c r="AH67" i="3"/>
  <c r="I66" i="5" s="1"/>
  <c r="AI130" i="3"/>
  <c r="J129" i="5" s="1"/>
  <c r="AH130" i="3"/>
  <c r="I129" i="5" s="1"/>
  <c r="L129" i="8"/>
  <c r="H129" i="5"/>
  <c r="AI68" i="3"/>
  <c r="J67" i="5" s="1"/>
  <c r="AH68" i="3"/>
  <c r="I67" i="5" s="1"/>
  <c r="L67" i="8"/>
  <c r="H67" i="5"/>
  <c r="L8" i="8"/>
  <c r="H8" i="5"/>
  <c r="AH9" i="3"/>
  <c r="I8" i="5" s="1"/>
  <c r="AI9" i="3"/>
  <c r="J8" i="5" s="1"/>
  <c r="AH103" i="3"/>
  <c r="I102" i="5" s="1"/>
  <c r="AI103" i="3"/>
  <c r="J102" i="5" s="1"/>
  <c r="H102" i="5"/>
  <c r="L102" i="8"/>
  <c r="AC154" i="3"/>
  <c r="E153" i="5" s="1"/>
  <c r="C153" i="8"/>
  <c r="C153" i="5"/>
  <c r="AI110" i="3"/>
  <c r="J109" i="5" s="1"/>
  <c r="L109" i="8"/>
  <c r="AH110" i="3"/>
  <c r="I109" i="5" s="1"/>
  <c r="H109" i="5"/>
  <c r="C72" i="5"/>
  <c r="C72" i="8"/>
  <c r="AC73" i="3"/>
  <c r="E72" i="5" s="1"/>
  <c r="AH118" i="3"/>
  <c r="I117" i="5" s="1"/>
  <c r="H117" i="5"/>
  <c r="AI118" i="3"/>
  <c r="J117" i="5" s="1"/>
  <c r="L117" i="8"/>
  <c r="L181" i="8"/>
  <c r="AH182" i="3"/>
  <c r="I181" i="5" s="1"/>
  <c r="H181" i="5"/>
  <c r="AI182" i="3"/>
  <c r="J181" i="5" s="1"/>
  <c r="AI240" i="3"/>
  <c r="AH240" i="3"/>
  <c r="AI204" i="3"/>
  <c r="AH204" i="3"/>
  <c r="AI69" i="3"/>
  <c r="J68" i="5" s="1"/>
  <c r="AH69" i="3"/>
  <c r="I68" i="5" s="1"/>
  <c r="H68" i="5"/>
  <c r="L68" i="8"/>
  <c r="AI98" i="3"/>
  <c r="J97" i="5" s="1"/>
  <c r="H97" i="5"/>
  <c r="L97" i="8"/>
  <c r="AH98" i="3"/>
  <c r="I97" i="5" s="1"/>
  <c r="C164" i="5"/>
  <c r="C164" i="8"/>
  <c r="AC165" i="3"/>
  <c r="E164" i="5" s="1"/>
  <c r="C147" i="8"/>
  <c r="C147" i="5"/>
  <c r="AC148" i="3"/>
  <c r="E147" i="5" s="1"/>
  <c r="AH225" i="3"/>
  <c r="AI225" i="3"/>
  <c r="AH250" i="3"/>
  <c r="AI250" i="3"/>
  <c r="H92" i="5"/>
  <c r="L92" i="8"/>
  <c r="AH93" i="3"/>
  <c r="I92" i="5" s="1"/>
  <c r="AI93" i="3"/>
  <c r="J92" i="5" s="1"/>
  <c r="C182" i="8"/>
  <c r="C182" i="5"/>
  <c r="AC183" i="3"/>
  <c r="E182" i="5" s="1"/>
  <c r="AI175" i="3"/>
  <c r="J174" i="5" s="1"/>
  <c r="H174" i="5"/>
  <c r="AH175" i="3"/>
  <c r="I174" i="5" s="1"/>
  <c r="L174" i="8"/>
  <c r="L93" i="8"/>
  <c r="AI94" i="3"/>
  <c r="J93" i="5" s="1"/>
  <c r="AH94" i="3"/>
  <c r="I93" i="5" s="1"/>
  <c r="H93" i="5"/>
  <c r="AC7" i="3"/>
  <c r="C6" i="8"/>
  <c r="C6" i="5"/>
  <c r="AP7" i="3"/>
  <c r="L41" i="8"/>
  <c r="AI42" i="3"/>
  <c r="J41" i="5" s="1"/>
  <c r="H41" i="5"/>
  <c r="AH42" i="3"/>
  <c r="I41" i="5" s="1"/>
  <c r="AI243" i="3"/>
  <c r="AH243" i="3"/>
  <c r="L21" i="8"/>
  <c r="AH22" i="3"/>
  <c r="I21" i="5" s="1"/>
  <c r="H21" i="5"/>
  <c r="AI22" i="3"/>
  <c r="J21" i="5" s="1"/>
  <c r="AB266" i="3"/>
  <c r="AB112" i="3"/>
  <c r="D111" i="5" s="1"/>
  <c r="AB211" i="3"/>
  <c r="AB252" i="3"/>
  <c r="AB104" i="3"/>
  <c r="D103" i="5" s="1"/>
  <c r="AB237" i="3"/>
  <c r="AB246" i="3"/>
  <c r="AB232" i="3"/>
  <c r="AH218" i="3"/>
  <c r="AI218" i="3"/>
  <c r="AC86" i="3"/>
  <c r="E85" i="5" s="1"/>
  <c r="C85" i="8"/>
  <c r="C85" i="5"/>
  <c r="C12" i="5"/>
  <c r="C12" i="8"/>
  <c r="AC13" i="3"/>
  <c r="E12" i="5" s="1"/>
  <c r="C138" i="8"/>
  <c r="AC139" i="3"/>
  <c r="E138" i="5" s="1"/>
  <c r="C138" i="5"/>
  <c r="H198" i="5"/>
  <c r="AH199" i="3"/>
  <c r="I198" i="5" s="1"/>
  <c r="L198" i="8"/>
  <c r="AI199" i="3"/>
  <c r="J198" i="5" s="1"/>
  <c r="H77" i="5"/>
  <c r="L77" i="8"/>
  <c r="AH78" i="3"/>
  <c r="I77" i="5" s="1"/>
  <c r="AI78" i="3"/>
  <c r="J77" i="5" s="1"/>
  <c r="AH37" i="3"/>
  <c r="I36" i="5" s="1"/>
  <c r="H36" i="5"/>
  <c r="AI37" i="3"/>
  <c r="J36" i="5" s="1"/>
  <c r="L36" i="8"/>
  <c r="C199" i="5"/>
  <c r="AC200" i="3"/>
  <c r="E199" i="5" s="1"/>
  <c r="L120" i="8"/>
  <c r="AH121" i="3"/>
  <c r="I120" i="5" s="1"/>
  <c r="H120" i="5"/>
  <c r="AI121" i="3"/>
  <c r="J120" i="5" s="1"/>
  <c r="AI200" i="3"/>
  <c r="J199" i="5" s="1"/>
  <c r="AH200" i="3"/>
  <c r="I199" i="5" s="1"/>
  <c r="H199" i="5"/>
  <c r="H37" i="5"/>
  <c r="AH38" i="3"/>
  <c r="I37" i="5" s="1"/>
  <c r="L37" i="8"/>
  <c r="AI38" i="3"/>
  <c r="J37" i="5" s="1"/>
  <c r="AI46" i="3"/>
  <c r="J45" i="5" s="1"/>
  <c r="H45" i="5"/>
  <c r="AH46" i="3"/>
  <c r="I45" i="5" s="1"/>
  <c r="L45" i="8"/>
  <c r="AC115" i="3"/>
  <c r="E114" i="5" s="1"/>
  <c r="C114" i="5"/>
  <c r="C114" i="8"/>
  <c r="AH237" i="3"/>
  <c r="AI237" i="3"/>
  <c r="AH238" i="3"/>
  <c r="AI238" i="3"/>
  <c r="C7" i="8"/>
  <c r="C7" i="5"/>
  <c r="AC8" i="3"/>
  <c r="E7" i="5" s="1"/>
  <c r="AI229" i="3"/>
  <c r="AH229" i="3"/>
  <c r="AH201" i="3"/>
  <c r="I200" i="5" s="1"/>
  <c r="H200" i="5"/>
  <c r="AI201" i="3"/>
  <c r="J200" i="5" s="1"/>
  <c r="C31" i="5"/>
  <c r="C31" i="8"/>
  <c r="AC32" i="3"/>
  <c r="E31" i="5" s="1"/>
  <c r="C125" i="8"/>
  <c r="C125" i="5"/>
  <c r="AC126" i="3"/>
  <c r="E125" i="5" s="1"/>
  <c r="C90" i="8"/>
  <c r="C90" i="5"/>
  <c r="AC91" i="3"/>
  <c r="E90" i="5" s="1"/>
  <c r="AH216" i="3"/>
  <c r="AI216" i="3"/>
  <c r="AB10" i="3"/>
  <c r="D9" i="5" s="1"/>
  <c r="AB52" i="3"/>
  <c r="D51" i="5" s="1"/>
  <c r="AH34" i="3"/>
  <c r="I33" i="5" s="1"/>
  <c r="H33" i="5"/>
  <c r="L33" i="8"/>
  <c r="AI34" i="3"/>
  <c r="J33" i="5" s="1"/>
  <c r="AB90" i="3"/>
  <c r="D89" i="5" s="1"/>
  <c r="AH148" i="3"/>
  <c r="I147" i="5" s="1"/>
  <c r="L147" i="8"/>
  <c r="H147" i="5"/>
  <c r="AI148" i="3"/>
  <c r="J147" i="5" s="1"/>
  <c r="AC173" i="3"/>
  <c r="E172" i="5" s="1"/>
  <c r="C172" i="8"/>
  <c r="C172" i="5"/>
  <c r="C157" i="5"/>
  <c r="C157" i="8"/>
  <c r="AC158" i="3"/>
  <c r="E157" i="5" s="1"/>
  <c r="AC77" i="3"/>
  <c r="E76" i="5" s="1"/>
  <c r="C76" i="8"/>
  <c r="C76" i="5"/>
  <c r="H48" i="5"/>
  <c r="L48" i="8"/>
  <c r="AH49" i="3"/>
  <c r="I48" i="5" s="1"/>
  <c r="AI49" i="3"/>
  <c r="J48" i="5" s="1"/>
  <c r="L20" i="8"/>
  <c r="H20" i="5"/>
  <c r="AH21" i="3"/>
  <c r="I20" i="5" s="1"/>
  <c r="AI21" i="3"/>
  <c r="J20" i="5" s="1"/>
  <c r="AI52" i="3"/>
  <c r="J51" i="5" s="1"/>
  <c r="H51" i="5"/>
  <c r="AH52" i="3"/>
  <c r="I51" i="5" s="1"/>
  <c r="L51" i="8"/>
  <c r="AB134" i="3"/>
  <c r="D133" i="5" s="1"/>
  <c r="AB68" i="3"/>
  <c r="D67" i="5" s="1"/>
  <c r="X38" i="3"/>
  <c r="AE37" i="3"/>
  <c r="A6" i="8"/>
  <c r="A6" i="5"/>
  <c r="AH206" i="3"/>
  <c r="AI206" i="3"/>
  <c r="L171" i="8"/>
  <c r="H171" i="5"/>
  <c r="AH172" i="3"/>
  <c r="I171" i="5" s="1"/>
  <c r="AI172" i="3"/>
  <c r="J171" i="5" s="1"/>
  <c r="H160" i="5"/>
  <c r="AH161" i="3"/>
  <c r="I160" i="5" s="1"/>
  <c r="L160" i="8"/>
  <c r="AI161" i="3"/>
  <c r="J160" i="5" s="1"/>
  <c r="AH75" i="3"/>
  <c r="I74" i="5" s="1"/>
  <c r="H74" i="5"/>
  <c r="L74" i="8"/>
  <c r="AI75" i="3"/>
  <c r="J74" i="5" s="1"/>
  <c r="AH224" i="3"/>
  <c r="AI224" i="3"/>
  <c r="AC162" i="3"/>
  <c r="E161" i="5" s="1"/>
  <c r="C161" i="8"/>
  <c r="C161" i="5"/>
  <c r="C136" i="8"/>
  <c r="C136" i="5"/>
  <c r="AC137" i="3"/>
  <c r="E136" i="5" s="1"/>
  <c r="AH260" i="3"/>
  <c r="AI260" i="3"/>
  <c r="AC83" i="3"/>
  <c r="E82" i="5" s="1"/>
  <c r="C82" i="8"/>
  <c r="C82" i="5"/>
  <c r="C168" i="8"/>
  <c r="AC169" i="3"/>
  <c r="E168" i="5" s="1"/>
  <c r="C168" i="5"/>
  <c r="AC78" i="3"/>
  <c r="E77" i="5" s="1"/>
  <c r="C77" i="8"/>
  <c r="C77" i="5"/>
  <c r="AC184" i="3"/>
  <c r="E183" i="5" s="1"/>
  <c r="C183" i="8"/>
  <c r="C183" i="5"/>
  <c r="C134" i="5"/>
  <c r="C134" i="8"/>
  <c r="AC135" i="3"/>
  <c r="E134" i="5" s="1"/>
  <c r="AI17" i="3"/>
  <c r="J16" i="5" s="1"/>
  <c r="L16" i="8"/>
  <c r="AH17" i="3"/>
  <c r="I16" i="5" s="1"/>
  <c r="H16" i="5"/>
  <c r="H73" i="5"/>
  <c r="L73" i="8"/>
  <c r="AI74" i="3"/>
  <c r="J73" i="5" s="1"/>
  <c r="AH74" i="3"/>
  <c r="I73" i="5" s="1"/>
  <c r="L148" i="8"/>
  <c r="AI149" i="3"/>
  <c r="J148" i="5" s="1"/>
  <c r="H148" i="5"/>
  <c r="AH149" i="3"/>
  <c r="I148" i="5" s="1"/>
  <c r="AI212" i="3"/>
  <c r="AH212" i="3"/>
  <c r="C112" i="5"/>
  <c r="C112" i="8"/>
  <c r="AC113" i="3"/>
  <c r="E112" i="5" s="1"/>
  <c r="H116" i="5"/>
  <c r="AI117" i="3"/>
  <c r="J116" i="5" s="1"/>
  <c r="AH117" i="3"/>
  <c r="I116" i="5" s="1"/>
  <c r="L116" i="8"/>
  <c r="L138" i="8"/>
  <c r="H138" i="5"/>
  <c r="AI139" i="3"/>
  <c r="J138" i="5" s="1"/>
  <c r="AH139" i="3"/>
  <c r="I138" i="5" s="1"/>
  <c r="L115" i="8"/>
  <c r="AI116" i="3"/>
  <c r="J115" i="5" s="1"/>
  <c r="AH116" i="3"/>
  <c r="I115" i="5" s="1"/>
  <c r="H115" i="5"/>
  <c r="AI268" i="3"/>
  <c r="AH268" i="3"/>
  <c r="H179" i="5"/>
  <c r="L179" i="8"/>
  <c r="AI180" i="3"/>
  <c r="J179" i="5" s="1"/>
  <c r="AH180" i="3"/>
  <c r="I179" i="5" s="1"/>
  <c r="C26" i="8"/>
  <c r="C26" i="5"/>
  <c r="AC27" i="3"/>
  <c r="E26" i="5" s="1"/>
  <c r="C156" i="8"/>
  <c r="AC157" i="3"/>
  <c r="E156" i="5" s="1"/>
  <c r="C156" i="5"/>
  <c r="L87" i="8"/>
  <c r="AH88" i="3"/>
  <c r="I87" i="5" s="1"/>
  <c r="H87" i="5"/>
  <c r="AI88" i="3"/>
  <c r="J87" i="5" s="1"/>
  <c r="AC151" i="3"/>
  <c r="E150" i="5" s="1"/>
  <c r="C150" i="5"/>
  <c r="C150" i="8"/>
  <c r="AH166" i="3"/>
  <c r="I165" i="5" s="1"/>
  <c r="H165" i="5"/>
  <c r="AI166" i="3"/>
  <c r="J165" i="5" s="1"/>
  <c r="L165" i="8"/>
  <c r="AI252" i="3"/>
  <c r="AH252" i="3"/>
  <c r="AC152" i="3"/>
  <c r="E151" i="5" s="1"/>
  <c r="C151" i="5"/>
  <c r="C151" i="8"/>
  <c r="C56" i="8"/>
  <c r="C56" i="5"/>
  <c r="AC57" i="3"/>
  <c r="E56" i="5" s="1"/>
  <c r="C155" i="5"/>
  <c r="AC156" i="3"/>
  <c r="E155" i="5" s="1"/>
  <c r="C155" i="8"/>
  <c r="AB197" i="3"/>
  <c r="D196" i="5" s="1"/>
  <c r="AB243" i="3"/>
  <c r="C167" i="8"/>
  <c r="AC168" i="3"/>
  <c r="E167" i="5" s="1"/>
  <c r="C167" i="5"/>
  <c r="L61" i="8"/>
  <c r="H61" i="5"/>
  <c r="AH62" i="3"/>
  <c r="I61" i="5" s="1"/>
  <c r="AI62" i="3"/>
  <c r="J61" i="5" s="1"/>
  <c r="H35" i="5"/>
  <c r="A1" i="5" s="1"/>
  <c r="L35" i="8"/>
  <c r="AI36" i="3"/>
  <c r="J35" i="5" s="1"/>
  <c r="AH36" i="3"/>
  <c r="I35" i="5" s="1"/>
  <c r="C23" i="8"/>
  <c r="C23" i="5"/>
  <c r="AC24" i="3"/>
  <c r="E23" i="5" s="1"/>
  <c r="AH160" i="3"/>
  <c r="I159" i="5" s="1"/>
  <c r="H159" i="5"/>
  <c r="L159" i="8"/>
  <c r="AI160" i="3"/>
  <c r="J159" i="5" s="1"/>
  <c r="AI186" i="3"/>
  <c r="J185" i="5" s="1"/>
  <c r="L185" i="8"/>
  <c r="H185" i="5"/>
  <c r="AH186" i="3"/>
  <c r="I185" i="5" s="1"/>
  <c r="AH15" i="3"/>
  <c r="I14" i="5" s="1"/>
  <c r="H14" i="5"/>
  <c r="L14" i="8"/>
  <c r="AI15" i="3"/>
  <c r="J14" i="5" s="1"/>
  <c r="AH228" i="3"/>
  <c r="AI228" i="3"/>
  <c r="AC75" i="3"/>
  <c r="E74" i="5" s="1"/>
  <c r="C74" i="8"/>
  <c r="C74" i="5"/>
  <c r="AC67" i="3"/>
  <c r="E66" i="5" s="1"/>
  <c r="C66" i="5"/>
  <c r="C66" i="8"/>
  <c r="AI127" i="3"/>
  <c r="J126" i="5" s="1"/>
  <c r="H126" i="5"/>
  <c r="AH127" i="3"/>
  <c r="I126" i="5" s="1"/>
  <c r="L126" i="8"/>
  <c r="C145" i="8"/>
  <c r="C145" i="5"/>
  <c r="AC146" i="3"/>
  <c r="E145" i="5" s="1"/>
  <c r="C148" i="8"/>
  <c r="AC149" i="3"/>
  <c r="E148" i="5" s="1"/>
  <c r="C148" i="5"/>
  <c r="C107" i="5"/>
  <c r="C107" i="8"/>
  <c r="AC108" i="3"/>
  <c r="E107" i="5" s="1"/>
  <c r="C116" i="5"/>
  <c r="C116" i="8"/>
  <c r="AC117" i="3"/>
  <c r="E116" i="5" s="1"/>
  <c r="H119" i="5"/>
  <c r="L119" i="8"/>
  <c r="AI120" i="3"/>
  <c r="J119" i="5" s="1"/>
  <c r="AH120" i="3"/>
  <c r="I119" i="5" s="1"/>
  <c r="AI83" i="3"/>
  <c r="J82" i="5" s="1"/>
  <c r="L82" i="8"/>
  <c r="H82" i="5"/>
  <c r="AH83" i="3"/>
  <c r="I82" i="5" s="1"/>
  <c r="L105" i="8"/>
  <c r="AH106" i="3"/>
  <c r="I105" i="5" s="1"/>
  <c r="H105" i="5"/>
  <c r="AI106" i="3"/>
  <c r="J105" i="5" s="1"/>
  <c r="AI231" i="3"/>
  <c r="AH231" i="3"/>
  <c r="C30" i="5"/>
  <c r="C30" i="8"/>
  <c r="AC31" i="3"/>
  <c r="E30" i="5" s="1"/>
  <c r="C179" i="5"/>
  <c r="C179" i="8"/>
  <c r="AC180" i="3"/>
  <c r="E179" i="5" s="1"/>
  <c r="AH14" i="3"/>
  <c r="I13" i="5" s="1"/>
  <c r="L13" i="8"/>
  <c r="AI14" i="3"/>
  <c r="J13" i="5" s="1"/>
  <c r="H13" i="5"/>
  <c r="C143" i="8"/>
  <c r="C143" i="5"/>
  <c r="AC144" i="3"/>
  <c r="E143" i="5" s="1"/>
  <c r="AI146" i="3"/>
  <c r="J145" i="5" s="1"/>
  <c r="AH146" i="3"/>
  <c r="I145" i="5" s="1"/>
  <c r="H145" i="5"/>
  <c r="L145" i="8"/>
  <c r="AH56" i="3"/>
  <c r="I55" i="5" s="1"/>
  <c r="L55" i="8"/>
  <c r="AI56" i="3"/>
  <c r="J55" i="5" s="1"/>
  <c r="H55" i="5"/>
  <c r="C154" i="8"/>
  <c r="C154" i="5"/>
  <c r="AC155" i="3"/>
  <c r="E154" i="5" s="1"/>
  <c r="L155" i="8"/>
  <c r="AI156" i="3"/>
  <c r="J155" i="5" s="1"/>
  <c r="H155" i="5"/>
  <c r="AH156" i="3"/>
  <c r="I155" i="5" s="1"/>
  <c r="AI219" i="3"/>
  <c r="AH219" i="3"/>
  <c r="C158" i="8"/>
  <c r="C158" i="5"/>
  <c r="AC159" i="3"/>
  <c r="E158" i="5" s="1"/>
  <c r="AB143" i="3"/>
  <c r="D142" i="5" s="1"/>
  <c r="AB80" i="3"/>
  <c r="D79" i="5" s="1"/>
  <c r="AB62" i="3"/>
  <c r="D61" i="5" s="1"/>
  <c r="AB222" i="3"/>
  <c r="AC85" i="3"/>
  <c r="E84" i="5" s="1"/>
  <c r="C84" i="8"/>
  <c r="C84" i="5"/>
  <c r="AC164" i="3"/>
  <c r="E163" i="5" s="1"/>
  <c r="C163" i="8"/>
  <c r="C163" i="5"/>
  <c r="C32" i="5"/>
  <c r="C32" i="8"/>
  <c r="C17" i="5"/>
  <c r="C17" i="8"/>
  <c r="AC18" i="3"/>
  <c r="E17" i="5" s="1"/>
  <c r="C16" i="5"/>
  <c r="C16" i="8"/>
  <c r="AC17" i="3"/>
  <c r="E16" i="5" s="1"/>
  <c r="AI263" i="3"/>
  <c r="AH263" i="3"/>
  <c r="C20" i="5"/>
  <c r="C20" i="8"/>
  <c r="AC21" i="3"/>
  <c r="E20" i="5" s="1"/>
  <c r="AI242" i="3"/>
  <c r="AH242" i="3"/>
  <c r="AI165" i="3"/>
  <c r="J164" i="5" s="1"/>
  <c r="L164" i="8"/>
  <c r="H164" i="5"/>
  <c r="AH165" i="3"/>
  <c r="I164" i="5" s="1"/>
  <c r="C104" i="5"/>
  <c r="C104" i="8"/>
  <c r="AC105" i="3"/>
  <c r="E104" i="5" s="1"/>
  <c r="L26" i="8"/>
  <c r="AH27" i="3"/>
  <c r="I26" i="5" s="1"/>
  <c r="AI27" i="3"/>
  <c r="J26" i="5" s="1"/>
  <c r="H26" i="5"/>
  <c r="C127" i="5"/>
  <c r="C127" i="8"/>
  <c r="AC128" i="3"/>
  <c r="E127" i="5" s="1"/>
  <c r="C175" i="5"/>
  <c r="C175" i="8"/>
  <c r="AC176" i="3"/>
  <c r="E175" i="5" s="1"/>
  <c r="AH33" i="3"/>
  <c r="I32" i="5" s="1"/>
  <c r="L32" i="8"/>
  <c r="H32" i="5"/>
  <c r="AC107" i="3"/>
  <c r="E106" i="5" s="1"/>
  <c r="C106" i="8"/>
  <c r="C106" i="5"/>
  <c r="L9" i="8"/>
  <c r="AH10" i="3"/>
  <c r="I9" i="5" s="1"/>
  <c r="H9" i="5"/>
  <c r="AI10" i="3"/>
  <c r="J9" i="5" s="1"/>
  <c r="L169" i="8"/>
  <c r="H169" i="5"/>
  <c r="AH170" i="3"/>
  <c r="I169" i="5" s="1"/>
  <c r="AI170" i="3"/>
  <c r="J169" i="5" s="1"/>
  <c r="H177" i="5"/>
  <c r="L177" i="8"/>
  <c r="AH178" i="3"/>
  <c r="I177" i="5" s="1"/>
  <c r="AI178" i="3"/>
  <c r="J177" i="5" s="1"/>
  <c r="AH274" i="3"/>
  <c r="AI274" i="3"/>
  <c r="AH26" i="3"/>
  <c r="I25" i="5" s="1"/>
  <c r="H25" i="5"/>
  <c r="L25" i="8"/>
  <c r="AI26" i="3"/>
  <c r="J25" i="5" s="1"/>
  <c r="AH251" i="3"/>
  <c r="AI251" i="3"/>
  <c r="L27" i="8"/>
  <c r="AH28" i="3"/>
  <c r="I27" i="5" s="1"/>
  <c r="H27" i="5"/>
  <c r="AI28" i="3"/>
  <c r="J27" i="5" s="1"/>
  <c r="AH187" i="3"/>
  <c r="I186" i="5" s="1"/>
  <c r="L186" i="8"/>
  <c r="AI187" i="3"/>
  <c r="J186" i="5" s="1"/>
  <c r="H186" i="5"/>
  <c r="C83" i="8"/>
  <c r="C83" i="5"/>
  <c r="AC84" i="3"/>
  <c r="E83" i="5" s="1"/>
  <c r="L111" i="8"/>
  <c r="H111" i="5"/>
  <c r="AH112" i="3"/>
  <c r="I111" i="5" s="1"/>
  <c r="AI112" i="3"/>
  <c r="J111" i="5" s="1"/>
  <c r="AH11" i="3"/>
  <c r="I10" i="5" s="1"/>
  <c r="H10" i="5"/>
  <c r="AI11" i="3"/>
  <c r="J10" i="5" s="1"/>
  <c r="L10" i="8"/>
  <c r="AC99" i="3"/>
  <c r="E98" i="5" s="1"/>
  <c r="C98" i="5"/>
  <c r="C98" i="8"/>
  <c r="AI43" i="3"/>
  <c r="J42" i="5" s="1"/>
  <c r="H42" i="5"/>
  <c r="L42" i="8"/>
  <c r="AH43" i="3"/>
  <c r="I42" i="5" s="1"/>
  <c r="AH261" i="3"/>
  <c r="AI261" i="3"/>
  <c r="C25" i="8"/>
  <c r="C25" i="5"/>
  <c r="AC26" i="3"/>
  <c r="E25" i="5" s="1"/>
  <c r="AB145" i="3"/>
  <c r="D144" i="5" s="1"/>
  <c r="AB149" i="3"/>
  <c r="D148" i="5" s="1"/>
  <c r="AB220" i="3"/>
  <c r="AB17" i="3"/>
  <c r="D16" i="5" s="1"/>
  <c r="AB14" i="3"/>
  <c r="D13" i="5" s="1"/>
  <c r="AB226" i="3"/>
  <c r="AB208" i="3"/>
  <c r="C28" i="8"/>
  <c r="C28" i="5"/>
  <c r="AC29" i="3"/>
  <c r="E28" i="5" s="1"/>
  <c r="AB123" i="3"/>
  <c r="D122" i="5" s="1"/>
  <c r="C8" i="8"/>
  <c r="AC9" i="3"/>
  <c r="E8" i="5" s="1"/>
  <c r="C8" i="5"/>
  <c r="AH255" i="3"/>
  <c r="AI255" i="3"/>
  <c r="H139" i="5"/>
  <c r="AH140" i="3"/>
  <c r="I139" i="5" s="1"/>
  <c r="L139" i="8"/>
  <c r="AI140" i="3"/>
  <c r="J139" i="5" s="1"/>
  <c r="AB113" i="3"/>
  <c r="D112" i="5" s="1"/>
  <c r="AI190" i="3"/>
  <c r="J189" i="5" s="1"/>
  <c r="L189" i="8"/>
  <c r="AH190" i="3"/>
  <c r="I189" i="5" s="1"/>
  <c r="H189" i="5"/>
  <c r="L128" i="8"/>
  <c r="AI129" i="3"/>
  <c r="J128" i="5" s="1"/>
  <c r="AH129" i="3"/>
  <c r="I128" i="5" s="1"/>
  <c r="H128" i="5"/>
  <c r="AI86" i="3"/>
  <c r="J85" i="5" s="1"/>
  <c r="L85" i="8"/>
  <c r="AH86" i="3"/>
  <c r="I85" i="5" s="1"/>
  <c r="H85" i="5"/>
  <c r="AH113" i="3"/>
  <c r="I112" i="5" s="1"/>
  <c r="L112" i="8"/>
  <c r="AI113" i="3"/>
  <c r="J112" i="5" s="1"/>
  <c r="H112" i="5"/>
  <c r="C105" i="5"/>
  <c r="C105" i="8"/>
  <c r="AC106" i="3"/>
  <c r="E105" i="5" s="1"/>
  <c r="AI271" i="3"/>
  <c r="AH271" i="3"/>
  <c r="AH100" i="3"/>
  <c r="I99" i="5" s="1"/>
  <c r="L99" i="8"/>
  <c r="AI100" i="3"/>
  <c r="J99" i="5" s="1"/>
  <c r="H99" i="5"/>
  <c r="AH159" i="3"/>
  <c r="I158" i="5" s="1"/>
  <c r="AI159" i="3"/>
  <c r="J158" i="5" s="1"/>
  <c r="H158" i="5"/>
  <c r="L158" i="8"/>
  <c r="C149" i="8"/>
  <c r="C149" i="5"/>
  <c r="AC150" i="3"/>
  <c r="E149" i="5" s="1"/>
  <c r="C187" i="8"/>
  <c r="C187" i="5"/>
  <c r="AC188" i="3"/>
  <c r="E187" i="5" s="1"/>
  <c r="C64" i="5"/>
  <c r="C64" i="8"/>
  <c r="AC65" i="3"/>
  <c r="E64" i="5" s="1"/>
  <c r="C115" i="8"/>
  <c r="C115" i="5"/>
  <c r="AC116" i="3"/>
  <c r="E115" i="5" s="1"/>
  <c r="AB94" i="3"/>
  <c r="D93" i="5" s="1"/>
  <c r="AC198" i="3"/>
  <c r="E197" i="5" s="1"/>
  <c r="C197" i="5"/>
  <c r="C197" i="8"/>
  <c r="AB50" i="3"/>
  <c r="D49" i="5" s="1"/>
  <c r="AB152" i="3"/>
  <c r="D151" i="5" s="1"/>
  <c r="C65" i="5"/>
  <c r="C65" i="8"/>
  <c r="AC66" i="3"/>
  <c r="E65" i="5" s="1"/>
  <c r="AI197" i="3"/>
  <c r="J196" i="5" s="1"/>
  <c r="L196" i="8"/>
  <c r="AH197" i="3"/>
  <c r="I196" i="5" s="1"/>
  <c r="H196" i="5"/>
  <c r="AB57" i="3"/>
  <c r="D56" i="5" s="1"/>
  <c r="AI234" i="3"/>
  <c r="AH234" i="3"/>
  <c r="AI246" i="3"/>
  <c r="AH246" i="3"/>
  <c r="AC179" i="3"/>
  <c r="E178" i="5" s="1"/>
  <c r="C178" i="8"/>
  <c r="C178" i="5"/>
  <c r="AC110" i="3"/>
  <c r="E109" i="5" s="1"/>
  <c r="C109" i="5"/>
  <c r="C109" i="8"/>
  <c r="AB56" i="3"/>
  <c r="D55" i="5" s="1"/>
  <c r="AB169" i="3"/>
  <c r="D168" i="5" s="1"/>
  <c r="C135" i="8"/>
  <c r="AC136" i="3"/>
  <c r="E135" i="5" s="1"/>
  <c r="C135" i="5"/>
  <c r="Y39" i="3"/>
  <c r="Y41" i="3"/>
  <c r="W42" i="3"/>
  <c r="AH29" i="3"/>
  <c r="I28" i="5" s="1"/>
  <c r="H28" i="5"/>
  <c r="L28" i="8"/>
  <c r="AI29" i="3"/>
  <c r="J28" i="5" s="1"/>
  <c r="C11" i="8"/>
  <c r="C11" i="5"/>
  <c r="AC12" i="3"/>
  <c r="E11" i="5" s="1"/>
  <c r="AH66" i="3"/>
  <c r="I65" i="5" s="1"/>
  <c r="L65" i="8"/>
  <c r="H65" i="5"/>
  <c r="AI66" i="3"/>
  <c r="J65" i="5" s="1"/>
  <c r="C188" i="8"/>
  <c r="C188" i="5"/>
  <c r="AC189" i="3"/>
  <c r="E188" i="5" s="1"/>
  <c r="L193" i="8"/>
  <c r="H193" i="5"/>
  <c r="AH194" i="3"/>
  <c r="I193" i="5" s="1"/>
  <c r="AI194" i="3"/>
  <c r="J193" i="5" s="1"/>
  <c r="C57" i="8"/>
  <c r="C57" i="5"/>
  <c r="AC58" i="3"/>
  <c r="E57" i="5" s="1"/>
  <c r="AH108" i="3"/>
  <c r="I107" i="5" s="1"/>
  <c r="L107" i="8"/>
  <c r="AI108" i="3"/>
  <c r="J107" i="5" s="1"/>
  <c r="H107" i="5"/>
  <c r="AI58" i="3"/>
  <c r="J57" i="5" s="1"/>
  <c r="H57" i="5"/>
  <c r="AH58" i="3"/>
  <c r="I57" i="5" s="1"/>
  <c r="L57" i="8"/>
  <c r="C45" i="8"/>
  <c r="C45" i="5"/>
  <c r="AC46" i="3"/>
  <c r="E45" i="5" s="1"/>
  <c r="C43" i="5"/>
  <c r="C43" i="8"/>
  <c r="AC44" i="3"/>
  <c r="E43" i="5" s="1"/>
  <c r="L22" i="8"/>
  <c r="AH23" i="3"/>
  <c r="I22" i="5" s="1"/>
  <c r="AI23" i="3"/>
  <c r="J22" i="5" s="1"/>
  <c r="H22" i="5"/>
  <c r="C113" i="8"/>
  <c r="C113" i="5"/>
  <c r="AC114" i="3"/>
  <c r="E113" i="5" s="1"/>
  <c r="AC71" i="3"/>
  <c r="E70" i="5" s="1"/>
  <c r="C70" i="8"/>
  <c r="C70" i="5"/>
  <c r="C18" i="5"/>
  <c r="C18" i="8"/>
  <c r="AC19" i="3"/>
  <c r="E18" i="5" s="1"/>
  <c r="AH254" i="3"/>
  <c r="AI254" i="3"/>
  <c r="AI209" i="3"/>
  <c r="AH209" i="3"/>
  <c r="AC63" i="3"/>
  <c r="E62" i="5" s="1"/>
  <c r="C62" i="8"/>
  <c r="C62" i="5"/>
  <c r="AH272" i="3"/>
  <c r="AI272" i="3"/>
  <c r="C174" i="8"/>
  <c r="C174" i="5"/>
  <c r="AC175" i="3"/>
  <c r="E174" i="5" s="1"/>
  <c r="H182" i="5"/>
  <c r="L182" i="8"/>
  <c r="AI183" i="3"/>
  <c r="J182" i="5" s="1"/>
  <c r="AH183" i="3"/>
  <c r="I182" i="5" s="1"/>
  <c r="C68" i="5"/>
  <c r="C68" i="8"/>
  <c r="AC69" i="3"/>
  <c r="E68" i="5" s="1"/>
  <c r="H7" i="5"/>
  <c r="L7" i="8"/>
  <c r="AI8" i="3"/>
  <c r="J7" i="5" s="1"/>
  <c r="AH8" i="3"/>
  <c r="I7" i="5" s="1"/>
  <c r="AC133" i="3"/>
  <c r="E132" i="5" s="1"/>
  <c r="C132" i="5"/>
  <c r="C132" i="8"/>
  <c r="AI207" i="3"/>
  <c r="AH207" i="3"/>
  <c r="C139" i="8"/>
  <c r="AC140" i="3"/>
  <c r="E139" i="5" s="1"/>
  <c r="C139" i="5"/>
  <c r="AI138" i="3"/>
  <c r="J137" i="5" s="1"/>
  <c r="H137" i="5"/>
  <c r="AH138" i="3"/>
  <c r="I137" i="5" s="1"/>
  <c r="L137" i="8"/>
  <c r="H176" i="5"/>
  <c r="AH177" i="3"/>
  <c r="I176" i="5" s="1"/>
  <c r="L176" i="8"/>
  <c r="AI177" i="3"/>
  <c r="J176" i="5" s="1"/>
  <c r="AH208" i="3"/>
  <c r="AI208" i="3"/>
  <c r="AH184" i="3"/>
  <c r="I183" i="5" s="1"/>
  <c r="H183" i="5"/>
  <c r="AI184" i="3"/>
  <c r="J183" i="5" s="1"/>
  <c r="L183" i="8"/>
  <c r="AI248" i="3"/>
  <c r="AH248" i="3"/>
  <c r="C152" i="8"/>
  <c r="C152" i="5"/>
  <c r="AC153" i="3"/>
  <c r="E152" i="5" s="1"/>
  <c r="AI132" i="3"/>
  <c r="J131" i="5" s="1"/>
  <c r="L131" i="8"/>
  <c r="AH132" i="3"/>
  <c r="I131" i="5" s="1"/>
  <c r="H131" i="5"/>
  <c r="C180" i="8"/>
  <c r="C180" i="5"/>
  <c r="AC181" i="3"/>
  <c r="E180" i="5" s="1"/>
  <c r="C121" i="5"/>
  <c r="AC122" i="3"/>
  <c r="E121" i="5" s="1"/>
  <c r="C121" i="8"/>
  <c r="AH152" i="3"/>
  <c r="I151" i="5" s="1"/>
  <c r="AI152" i="3"/>
  <c r="J151" i="5" s="1"/>
  <c r="L151" i="8"/>
  <c r="H151" i="5"/>
  <c r="AC72" i="3"/>
  <c r="E71" i="5" s="1"/>
  <c r="C71" i="8"/>
  <c r="C71" i="5"/>
  <c r="AI259" i="3"/>
  <c r="AH259" i="3"/>
  <c r="AC124" i="3"/>
  <c r="E123" i="5" s="1"/>
  <c r="C123" i="8"/>
  <c r="C123" i="5"/>
  <c r="C99" i="8"/>
  <c r="C99" i="5"/>
  <c r="AC100" i="3"/>
  <c r="E99" i="5" s="1"/>
  <c r="AI273" i="3"/>
  <c r="AH273" i="3"/>
  <c r="AC11" i="3"/>
  <c r="E10" i="5" s="1"/>
  <c r="C10" i="8"/>
  <c r="C10" i="5"/>
  <c r="AI114" i="3"/>
  <c r="J113" i="5" s="1"/>
  <c r="AH114" i="3"/>
  <c r="I113" i="5" s="1"/>
  <c r="H113" i="5"/>
  <c r="L113" i="8"/>
  <c r="AI198" i="3"/>
  <c r="J197" i="5" s="1"/>
  <c r="L197" i="8"/>
  <c r="H197" i="5"/>
  <c r="AH198" i="3"/>
  <c r="I197" i="5" s="1"/>
  <c r="C191" i="5"/>
  <c r="AC192" i="3"/>
  <c r="E191" i="5" s="1"/>
  <c r="C191" i="8"/>
  <c r="AI210" i="3"/>
  <c r="AH210" i="3"/>
  <c r="AC177" i="3"/>
  <c r="E176" i="5" s="1"/>
  <c r="C176" i="8"/>
  <c r="C176" i="5"/>
  <c r="C69" i="5"/>
  <c r="C69" i="8"/>
  <c r="AC70" i="3"/>
  <c r="E69" i="5" s="1"/>
  <c r="AI163" i="3"/>
  <c r="J162" i="5" s="1"/>
  <c r="L162" i="8"/>
  <c r="AH163" i="3"/>
  <c r="I162" i="5" s="1"/>
  <c r="H162" i="5"/>
  <c r="C119" i="8"/>
  <c r="AC120" i="3"/>
  <c r="E119" i="5" s="1"/>
  <c r="C119" i="5"/>
  <c r="BN8" i="3"/>
  <c r="BN7" i="3"/>
  <c r="BP7" i="3" s="1"/>
  <c r="BN13" i="3"/>
  <c r="BN9" i="3"/>
  <c r="D6" i="5"/>
  <c r="AH158" i="3"/>
  <c r="I157" i="5" s="1"/>
  <c r="AI158" i="3"/>
  <c r="J157" i="5" s="1"/>
  <c r="H157" i="5"/>
  <c r="L157" i="8"/>
  <c r="C100" i="5"/>
  <c r="C100" i="8"/>
  <c r="AC101" i="3"/>
  <c r="E100" i="5" s="1"/>
  <c r="H38" i="5"/>
  <c r="L38" i="8"/>
  <c r="AH39" i="3"/>
  <c r="I38" i="5" s="1"/>
  <c r="C190" i="8"/>
  <c r="C190" i="5"/>
  <c r="AC191" i="3"/>
  <c r="E190" i="5" s="1"/>
  <c r="AB24" i="3"/>
  <c r="D23" i="5" s="1"/>
  <c r="AB48" i="3"/>
  <c r="D47" i="5" s="1"/>
  <c r="AB225" i="3"/>
  <c r="C101" i="5"/>
  <c r="C101" i="8"/>
  <c r="AC102" i="3"/>
  <c r="E101" i="5" s="1"/>
  <c r="AI266" i="3"/>
  <c r="AH266" i="3"/>
  <c r="C185" i="5"/>
  <c r="C185" i="8"/>
  <c r="AC186" i="3"/>
  <c r="E185" i="5" s="1"/>
  <c r="H163" i="5"/>
  <c r="L163" i="8"/>
  <c r="AH164" i="3"/>
  <c r="I163" i="5" s="1"/>
  <c r="AI164" i="3"/>
  <c r="J163" i="5" s="1"/>
  <c r="H86" i="5"/>
  <c r="L86" i="8"/>
  <c r="AI87" i="3"/>
  <c r="J86" i="5" s="1"/>
  <c r="AH87" i="3"/>
  <c r="I86" i="5" s="1"/>
  <c r="AH45" i="3"/>
  <c r="I44" i="5" s="1"/>
  <c r="AI45" i="3"/>
  <c r="J44" i="5" s="1"/>
  <c r="L44" i="8"/>
  <c r="H44" i="5"/>
  <c r="AH153" i="3"/>
  <c r="I152" i="5" s="1"/>
  <c r="H152" i="5"/>
  <c r="AI153" i="3"/>
  <c r="J152" i="5" s="1"/>
  <c r="L152" i="8"/>
  <c r="H170" i="5"/>
  <c r="L170" i="8"/>
  <c r="AI171" i="3"/>
  <c r="J170" i="5" s="1"/>
  <c r="AH171" i="3"/>
  <c r="I170" i="5" s="1"/>
  <c r="C169" i="8"/>
  <c r="C169" i="5"/>
  <c r="AC170" i="3"/>
  <c r="E169" i="5" s="1"/>
  <c r="AC97" i="3"/>
  <c r="E96" i="5" s="1"/>
  <c r="C96" i="5"/>
  <c r="C96" i="8"/>
  <c r="H106" i="5"/>
  <c r="AH107" i="3"/>
  <c r="I106" i="5" s="1"/>
  <c r="AI107" i="3"/>
  <c r="J106" i="5" s="1"/>
  <c r="L106" i="8"/>
  <c r="H72" i="5"/>
  <c r="L72" i="8"/>
  <c r="AH73" i="3"/>
  <c r="I72" i="5" s="1"/>
  <c r="AI73" i="3"/>
  <c r="J72" i="5" s="1"/>
  <c r="C41" i="5"/>
  <c r="C41" i="8"/>
  <c r="AC42" i="3"/>
  <c r="E41" i="5" s="1"/>
  <c r="H88" i="5"/>
  <c r="AI89" i="3"/>
  <c r="J88" i="5" s="1"/>
  <c r="L88" i="8"/>
  <c r="AH89" i="3"/>
  <c r="I88" i="5" s="1"/>
  <c r="C33" i="5"/>
  <c r="C33" i="8"/>
  <c r="AC34" i="3"/>
  <c r="E33" i="5" s="1"/>
  <c r="L161" i="8"/>
  <c r="AH162" i="3"/>
  <c r="I161" i="5" s="1"/>
  <c r="AI162" i="3"/>
  <c r="J161" i="5" s="1"/>
  <c r="H161" i="5"/>
  <c r="AI48" i="3"/>
  <c r="J47" i="5" s="1"/>
  <c r="L47" i="8"/>
  <c r="AH48" i="3"/>
  <c r="I47" i="5" s="1"/>
  <c r="H47" i="5"/>
  <c r="H80" i="5"/>
  <c r="L80" i="8"/>
  <c r="AH81" i="3"/>
  <c r="I80" i="5" s="1"/>
  <c r="AI81" i="3"/>
  <c r="J80" i="5" s="1"/>
  <c r="C24" i="8"/>
  <c r="C24" i="5"/>
  <c r="AC25" i="3"/>
  <c r="E24" i="5" s="1"/>
  <c r="C86" i="8"/>
  <c r="C86" i="5"/>
  <c r="AC87" i="3"/>
  <c r="E86" i="5" s="1"/>
  <c r="AH102" i="3"/>
  <c r="I101" i="5" s="1"/>
  <c r="H101" i="5"/>
  <c r="L101" i="8"/>
  <c r="AI102" i="3"/>
  <c r="J101" i="5" s="1"/>
  <c r="AI264" i="3"/>
  <c r="AH264" i="3"/>
  <c r="AC76" i="3"/>
  <c r="E75" i="5" s="1"/>
  <c r="C75" i="8"/>
  <c r="C75" i="5"/>
  <c r="AH80" i="3"/>
  <c r="I79" i="5" s="1"/>
  <c r="H79" i="5"/>
  <c r="L79" i="8"/>
  <c r="AI80" i="3"/>
  <c r="J79" i="5" s="1"/>
  <c r="AB63" i="3"/>
  <c r="D62" i="5" s="1"/>
  <c r="AB167" i="3"/>
  <c r="D166" i="5" s="1"/>
  <c r="AB97" i="3"/>
  <c r="D96" i="5" s="1"/>
  <c r="AB212" i="3"/>
  <c r="AB64" i="3"/>
  <c r="D63" i="5" s="1"/>
  <c r="AB86" i="3"/>
  <c r="D85" i="5" s="1"/>
  <c r="AB248" i="3"/>
  <c r="C59" i="8"/>
  <c r="C59" i="5"/>
  <c r="AC60" i="3"/>
  <c r="E59" i="5" s="1"/>
  <c r="AH192" i="3"/>
  <c r="I191" i="5" s="1"/>
  <c r="H191" i="5"/>
  <c r="AI192" i="3"/>
  <c r="J191" i="5" s="1"/>
  <c r="L191" i="8"/>
  <c r="AH227" i="3"/>
  <c r="AI227" i="3"/>
  <c r="C54" i="8"/>
  <c r="AC55" i="3"/>
  <c r="E54" i="5" s="1"/>
  <c r="C54" i="5"/>
  <c r="AI245" i="3"/>
  <c r="AH245" i="3"/>
  <c r="AB92" i="3"/>
  <c r="D91" i="5" s="1"/>
  <c r="C177" i="8"/>
  <c r="C177" i="5"/>
  <c r="AC178" i="3"/>
  <c r="E177" i="5" s="1"/>
  <c r="C50" i="5"/>
  <c r="C50" i="8"/>
  <c r="AC51" i="3"/>
  <c r="E50" i="5" s="1"/>
  <c r="H188" i="5"/>
  <c r="L188" i="8"/>
  <c r="AH189" i="3"/>
  <c r="I188" i="5" s="1"/>
  <c r="AI189" i="3"/>
  <c r="J188" i="5" s="1"/>
  <c r="L70" i="8"/>
  <c r="H70" i="5"/>
  <c r="AI71" i="3"/>
  <c r="J70" i="5" s="1"/>
  <c r="AH71" i="3"/>
  <c r="I70" i="5" s="1"/>
  <c r="AB184" i="3"/>
  <c r="D183" i="5" s="1"/>
  <c r="C29" i="8"/>
  <c r="C29" i="5"/>
  <c r="AC30" i="3"/>
  <c r="E29" i="5" s="1"/>
  <c r="AH239" i="3"/>
  <c r="AI239" i="3"/>
  <c r="AH90" i="3"/>
  <c r="I89" i="5" s="1"/>
  <c r="AI90" i="3"/>
  <c r="J89" i="5" s="1"/>
  <c r="L89" i="8"/>
  <c r="H89" i="5"/>
  <c r="H195" i="5"/>
  <c r="AI196" i="3"/>
  <c r="J195" i="5" s="1"/>
  <c r="AH196" i="3"/>
  <c r="I195" i="5" s="1"/>
  <c r="L195" i="8"/>
  <c r="AB190" i="3"/>
  <c r="D189" i="5" s="1"/>
  <c r="AI41" i="3"/>
  <c r="J40" i="5" s="1"/>
  <c r="L40" i="8"/>
  <c r="H40" i="5"/>
  <c r="AH41" i="3"/>
  <c r="I40" i="5" s="1"/>
  <c r="AI51" i="3"/>
  <c r="J50" i="5" s="1"/>
  <c r="L50" i="8"/>
  <c r="AH51" i="3"/>
  <c r="I50" i="5" s="1"/>
  <c r="H50" i="5"/>
  <c r="AB41" i="3"/>
  <c r="D40" i="5" s="1"/>
  <c r="AC82" i="3"/>
  <c r="E81" i="5" s="1"/>
  <c r="C81" i="8"/>
  <c r="C81" i="5"/>
  <c r="H24" i="5"/>
  <c r="L24" i="8"/>
  <c r="AI25" i="3"/>
  <c r="J24" i="5" s="1"/>
  <c r="AH25" i="3"/>
  <c r="I24" i="5" s="1"/>
  <c r="C159" i="8"/>
  <c r="C159" i="5"/>
  <c r="AC160" i="3"/>
  <c r="E159" i="5" s="1"/>
  <c r="AB189" i="3"/>
  <c r="D188" i="5" s="1"/>
  <c r="AB121" i="3"/>
  <c r="D120" i="5" s="1"/>
  <c r="AH265" i="3"/>
  <c r="AI265" i="3"/>
  <c r="AB161" i="3"/>
  <c r="D160" i="5" s="1"/>
  <c r="AH257" i="3"/>
  <c r="AI257" i="3"/>
  <c r="C94" i="5"/>
  <c r="AC95" i="3"/>
  <c r="E94" i="5" s="1"/>
  <c r="C94" i="8"/>
  <c r="AC185" i="3"/>
  <c r="E184" i="5" s="1"/>
  <c r="C184" i="5"/>
  <c r="C184" i="8"/>
  <c r="AB71" i="3"/>
  <c r="D70" i="5" s="1"/>
  <c r="C46" i="8"/>
  <c r="C46" i="5"/>
  <c r="AC47" i="3"/>
  <c r="E46" i="5" s="1"/>
  <c r="AH195" i="3"/>
  <c r="I194" i="5" s="1"/>
  <c r="L194" i="8"/>
  <c r="H194" i="5"/>
  <c r="AI195" i="3"/>
  <c r="J194" i="5" s="1"/>
  <c r="Y40" i="3"/>
  <c r="BN14" i="3" l="1"/>
  <c r="BN21" i="3"/>
  <c r="BN28" i="3"/>
  <c r="BN15" i="3"/>
  <c r="BN20" i="3"/>
  <c r="BN19" i="3"/>
  <c r="AT7" i="3"/>
  <c r="AT8" i="3" s="1"/>
  <c r="AT9" i="3" s="1"/>
  <c r="AT10" i="3" s="1"/>
  <c r="AT11" i="3" s="1"/>
  <c r="AT12" i="3" s="1"/>
  <c r="AT13" i="3" s="1"/>
  <c r="AT14" i="3" s="1"/>
  <c r="AT15" i="3" s="1"/>
  <c r="AT16" i="3" s="1"/>
  <c r="AT17" i="3" s="1"/>
  <c r="AT18" i="3" s="1"/>
  <c r="AT19" i="3" s="1"/>
  <c r="AT20" i="3" s="1"/>
  <c r="AT21" i="3" s="1"/>
  <c r="AT22" i="3" s="1"/>
  <c r="AT23" i="3" s="1"/>
  <c r="AT24" i="3" s="1"/>
  <c r="AT25" i="3" s="1"/>
  <c r="AT26" i="3" s="1"/>
  <c r="AT27" i="3" s="1"/>
  <c r="AT28" i="3" s="1"/>
  <c r="AT29" i="3" s="1"/>
  <c r="AT30" i="3" s="1"/>
  <c r="AT31" i="3" s="1"/>
  <c r="AT32" i="3" s="1"/>
  <c r="AT33" i="3" s="1"/>
  <c r="AT34" i="3" s="1"/>
  <c r="AT35" i="3" s="1"/>
  <c r="AT36" i="3" s="1"/>
  <c r="AT37" i="3" s="1"/>
  <c r="AT38" i="3" s="1"/>
  <c r="AT39" i="3" s="1"/>
  <c r="AT40" i="3" s="1"/>
  <c r="AT41" i="3" s="1"/>
  <c r="AT42" i="3" s="1"/>
  <c r="AT43" i="3" s="1"/>
  <c r="AT44" i="3" s="1"/>
  <c r="AT45" i="3" s="1"/>
  <c r="AT46" i="3" s="1"/>
  <c r="AT47" i="3" s="1"/>
  <c r="AT48" i="3" s="1"/>
  <c r="AT49" i="3" s="1"/>
  <c r="AT50" i="3" s="1"/>
  <c r="AT51" i="3" s="1"/>
  <c r="AT52" i="3" s="1"/>
  <c r="AT53" i="3" s="1"/>
  <c r="AT54" i="3" s="1"/>
  <c r="AT55" i="3" s="1"/>
  <c r="AT56" i="3" s="1"/>
  <c r="AT57" i="3" s="1"/>
  <c r="AT58" i="3" s="1"/>
  <c r="AT59" i="3" s="1"/>
  <c r="AT60" i="3" s="1"/>
  <c r="AT61" i="3" s="1"/>
  <c r="AT62" i="3" s="1"/>
  <c r="AT63" i="3" s="1"/>
  <c r="AT64" i="3" s="1"/>
  <c r="AT65" i="3" s="1"/>
  <c r="AT66" i="3" s="1"/>
  <c r="AT67" i="3" s="1"/>
  <c r="AT68" i="3" s="1"/>
  <c r="AT69" i="3" s="1"/>
  <c r="AT70" i="3" s="1"/>
  <c r="AT71" i="3" s="1"/>
  <c r="AT72" i="3" s="1"/>
  <c r="AT73" i="3" s="1"/>
  <c r="AT74" i="3" s="1"/>
  <c r="AT75" i="3" s="1"/>
  <c r="AT76" i="3" s="1"/>
  <c r="AT77" i="3" s="1"/>
  <c r="AT78" i="3" s="1"/>
  <c r="AT79" i="3" s="1"/>
  <c r="AT80" i="3" s="1"/>
  <c r="AT81" i="3" s="1"/>
  <c r="AT82" i="3" s="1"/>
  <c r="AT83" i="3" s="1"/>
  <c r="AT84" i="3" s="1"/>
  <c r="AT85" i="3" s="1"/>
  <c r="AT86" i="3" s="1"/>
  <c r="AT87" i="3" s="1"/>
  <c r="AT88" i="3" s="1"/>
  <c r="AT89" i="3" s="1"/>
  <c r="AT90" i="3" s="1"/>
  <c r="AT91" i="3" s="1"/>
  <c r="AT92" i="3" s="1"/>
  <c r="AT93" i="3" s="1"/>
  <c r="AT94" i="3" s="1"/>
  <c r="AT95" i="3" s="1"/>
  <c r="AT96" i="3" s="1"/>
  <c r="AT97" i="3" s="1"/>
  <c r="AT98" i="3" s="1"/>
  <c r="AT99" i="3" s="1"/>
  <c r="AT100" i="3" s="1"/>
  <c r="AT101" i="3" s="1"/>
  <c r="AT102" i="3" s="1"/>
  <c r="AT103" i="3" s="1"/>
  <c r="AT104" i="3" s="1"/>
  <c r="AT105" i="3" s="1"/>
  <c r="AT106" i="3" s="1"/>
  <c r="AT107" i="3" s="1"/>
  <c r="AT108" i="3" s="1"/>
  <c r="AT109" i="3" s="1"/>
  <c r="AT110" i="3" s="1"/>
  <c r="AT111" i="3" s="1"/>
  <c r="AT112" i="3" s="1"/>
  <c r="AT113" i="3" s="1"/>
  <c r="AT114" i="3" s="1"/>
  <c r="AT115" i="3" s="1"/>
  <c r="AT116" i="3" s="1"/>
  <c r="AT117" i="3" s="1"/>
  <c r="AT118" i="3" s="1"/>
  <c r="AT119" i="3" s="1"/>
  <c r="AT120" i="3" s="1"/>
  <c r="AT121" i="3" s="1"/>
  <c r="AT122" i="3" s="1"/>
  <c r="AT123" i="3" s="1"/>
  <c r="AT124" i="3" s="1"/>
  <c r="AT125" i="3" s="1"/>
  <c r="AT126" i="3" s="1"/>
  <c r="AT127" i="3" s="1"/>
  <c r="AT128" i="3" s="1"/>
  <c r="AT129" i="3" s="1"/>
  <c r="AT130" i="3" s="1"/>
  <c r="AT131" i="3" s="1"/>
  <c r="AT132" i="3" s="1"/>
  <c r="AT133" i="3" s="1"/>
  <c r="AT134" i="3" s="1"/>
  <c r="AT135" i="3" s="1"/>
  <c r="AT136" i="3" s="1"/>
  <c r="AT137" i="3" s="1"/>
  <c r="AT138" i="3" s="1"/>
  <c r="AT139" i="3" s="1"/>
  <c r="AT140" i="3" s="1"/>
  <c r="AT141" i="3" s="1"/>
  <c r="AT142" i="3" s="1"/>
  <c r="AT143" i="3" s="1"/>
  <c r="AT144" i="3" s="1"/>
  <c r="AT145" i="3" s="1"/>
  <c r="AT146" i="3" s="1"/>
  <c r="AT147" i="3" s="1"/>
  <c r="AT148" i="3" s="1"/>
  <c r="AT149" i="3" s="1"/>
  <c r="AT150" i="3" s="1"/>
  <c r="AT151" i="3" s="1"/>
  <c r="AT152" i="3" s="1"/>
  <c r="AT153" i="3" s="1"/>
  <c r="AT154" i="3" s="1"/>
  <c r="AT155" i="3" s="1"/>
  <c r="AT156" i="3" s="1"/>
  <c r="AT157" i="3" s="1"/>
  <c r="AT158" i="3" s="1"/>
  <c r="AT159" i="3" s="1"/>
  <c r="AT160" i="3" s="1"/>
  <c r="AT161" i="3" s="1"/>
  <c r="AT162" i="3" s="1"/>
  <c r="AT163" i="3" s="1"/>
  <c r="AT164" i="3" s="1"/>
  <c r="AT165" i="3" s="1"/>
  <c r="AT166" i="3" s="1"/>
  <c r="AT167" i="3" s="1"/>
  <c r="AT168" i="3" s="1"/>
  <c r="AT169" i="3" s="1"/>
  <c r="AT170" i="3" s="1"/>
  <c r="AT171" i="3" s="1"/>
  <c r="AT172" i="3" s="1"/>
  <c r="AT173" i="3" s="1"/>
  <c r="AT174" i="3" s="1"/>
  <c r="AT175" i="3" s="1"/>
  <c r="AT176" i="3" s="1"/>
  <c r="AT177" i="3" s="1"/>
  <c r="AT178" i="3" s="1"/>
  <c r="AT179" i="3" s="1"/>
  <c r="AT180" i="3" s="1"/>
  <c r="AT181" i="3" s="1"/>
  <c r="AT182" i="3" s="1"/>
  <c r="AT183" i="3" s="1"/>
  <c r="AT184" i="3" s="1"/>
  <c r="AT185" i="3" s="1"/>
  <c r="AT186" i="3" s="1"/>
  <c r="AT187" i="3" s="1"/>
  <c r="AT188" i="3" s="1"/>
  <c r="AT189" i="3" s="1"/>
  <c r="AT190" i="3" s="1"/>
  <c r="AT191" i="3" s="1"/>
  <c r="AT192" i="3" s="1"/>
  <c r="AT193" i="3" s="1"/>
  <c r="AT194" i="3" s="1"/>
  <c r="AT195" i="3" s="1"/>
  <c r="AT196" i="3" s="1"/>
  <c r="AT197" i="3" s="1"/>
  <c r="AT198" i="3" s="1"/>
  <c r="AT199" i="3" s="1"/>
  <c r="AT200" i="3" s="1"/>
  <c r="AT201" i="3" s="1"/>
  <c r="AT202" i="3" s="1"/>
  <c r="AT203" i="3" s="1"/>
  <c r="AT204" i="3" s="1"/>
  <c r="AT205" i="3" s="1"/>
  <c r="AT206" i="3" s="1"/>
  <c r="AT207" i="3" s="1"/>
  <c r="AT208" i="3" s="1"/>
  <c r="AT209" i="3" s="1"/>
  <c r="AT210" i="3" s="1"/>
  <c r="AT211" i="3" s="1"/>
  <c r="AT212" i="3" s="1"/>
  <c r="AT213" i="3" s="1"/>
  <c r="AT214" i="3" s="1"/>
  <c r="AT215" i="3" s="1"/>
  <c r="AT216" i="3" s="1"/>
  <c r="AT217" i="3" s="1"/>
  <c r="AT218" i="3" s="1"/>
  <c r="AT219" i="3" s="1"/>
  <c r="AT220" i="3" s="1"/>
  <c r="AT221" i="3" s="1"/>
  <c r="AT222" i="3" s="1"/>
  <c r="AT223" i="3" s="1"/>
  <c r="AT224" i="3" s="1"/>
  <c r="AT225" i="3" s="1"/>
  <c r="AT226" i="3" s="1"/>
  <c r="AT227" i="3" s="1"/>
  <c r="AT228" i="3" s="1"/>
  <c r="AT229" i="3" s="1"/>
  <c r="AT230" i="3" s="1"/>
  <c r="AT231" i="3" s="1"/>
  <c r="AT232" i="3" s="1"/>
  <c r="AT233" i="3" s="1"/>
  <c r="AT234" i="3" s="1"/>
  <c r="AT235" i="3" s="1"/>
  <c r="AT236" i="3" s="1"/>
  <c r="AT237" i="3" s="1"/>
  <c r="AT238" i="3" s="1"/>
  <c r="AT239" i="3" s="1"/>
  <c r="AT240" i="3" s="1"/>
  <c r="AT241" i="3" s="1"/>
  <c r="AT242" i="3" s="1"/>
  <c r="AT243" i="3" s="1"/>
  <c r="AT244" i="3" s="1"/>
  <c r="AT245" i="3" s="1"/>
  <c r="AT246" i="3" s="1"/>
  <c r="AT247" i="3" s="1"/>
  <c r="AT248" i="3" s="1"/>
  <c r="AT249" i="3" s="1"/>
  <c r="AT250" i="3" s="1"/>
  <c r="AT251" i="3" s="1"/>
  <c r="AT252" i="3" s="1"/>
  <c r="AT253" i="3" s="1"/>
  <c r="AT254" i="3" s="1"/>
  <c r="AT255" i="3" s="1"/>
  <c r="AT256" i="3" s="1"/>
  <c r="AT257" i="3" s="1"/>
  <c r="AT258" i="3" s="1"/>
  <c r="AT259" i="3" s="1"/>
  <c r="AT260" i="3" s="1"/>
  <c r="AT261" i="3" s="1"/>
  <c r="AT262" i="3" s="1"/>
  <c r="AT263" i="3" s="1"/>
  <c r="AT264" i="3" s="1"/>
  <c r="AT265" i="3" s="1"/>
  <c r="AT266" i="3" s="1"/>
  <c r="AT267" i="3" s="1"/>
  <c r="AT268" i="3" s="1"/>
  <c r="AT269" i="3" s="1"/>
  <c r="AT270" i="3" s="1"/>
  <c r="AT271" i="3" s="1"/>
  <c r="AT272" i="3" s="1"/>
  <c r="AT273" i="3" s="1"/>
  <c r="AT274" i="3" s="1"/>
  <c r="AT275" i="3" s="1"/>
  <c r="F6" i="4"/>
  <c r="AW244" i="3"/>
  <c r="AO215" i="3"/>
  <c r="AQ215" i="3" s="1"/>
  <c r="AW48" i="3"/>
  <c r="AO252" i="3"/>
  <c r="AQ252" i="3" s="1"/>
  <c r="AW23" i="3"/>
  <c r="AO265" i="3"/>
  <c r="AQ265" i="3" s="1"/>
  <c r="AW247" i="3"/>
  <c r="AO19" i="3"/>
  <c r="AW118" i="3"/>
  <c r="AW77" i="3"/>
  <c r="AW249" i="3"/>
  <c r="AO54" i="3"/>
  <c r="AW228" i="3"/>
  <c r="AW156" i="3"/>
  <c r="AO47" i="3"/>
  <c r="AO86" i="3"/>
  <c r="AW14" i="3"/>
  <c r="AO22" i="3"/>
  <c r="AP22" i="3" s="1"/>
  <c r="D21" i="4" s="1"/>
  <c r="S21" i="4" s="1"/>
  <c r="AW254" i="3"/>
  <c r="AO28" i="3"/>
  <c r="AW274" i="3"/>
  <c r="AW275" i="3"/>
  <c r="AW176" i="3"/>
  <c r="AO135" i="3"/>
  <c r="AO184" i="3"/>
  <c r="AQ184" i="3" s="1"/>
  <c r="AW90" i="3"/>
  <c r="AO105" i="3"/>
  <c r="AW51" i="3"/>
  <c r="AW270" i="3"/>
  <c r="AW255" i="3"/>
  <c r="AW106" i="3"/>
  <c r="AW125" i="3"/>
  <c r="AO9" i="3"/>
  <c r="AO114" i="3"/>
  <c r="AO275" i="3"/>
  <c r="AQ275" i="3" s="1"/>
  <c r="AO207" i="3"/>
  <c r="AQ207" i="3" s="1"/>
  <c r="AW250" i="3"/>
  <c r="AO235" i="3"/>
  <c r="AQ235" i="3" s="1"/>
  <c r="AO30" i="3"/>
  <c r="AO250" i="3"/>
  <c r="AQ250" i="3" s="1"/>
  <c r="AO12" i="3"/>
  <c r="C11" i="4" s="1"/>
  <c r="AO222" i="3"/>
  <c r="AQ222" i="3" s="1"/>
  <c r="AO16" i="3"/>
  <c r="C15" i="4" s="1"/>
  <c r="AO214" i="3"/>
  <c r="AQ214" i="3" s="1"/>
  <c r="AW59" i="3"/>
  <c r="AO254" i="3"/>
  <c r="AQ254" i="3" s="1"/>
  <c r="AO234" i="3"/>
  <c r="AQ234" i="3" s="1"/>
  <c r="AO55" i="3"/>
  <c r="AO164" i="3"/>
  <c r="AQ164" i="3" s="1"/>
  <c r="AW139" i="3"/>
  <c r="AP86" i="3"/>
  <c r="D85" i="4" s="1"/>
  <c r="S85" i="4" s="1"/>
  <c r="AW119" i="3"/>
  <c r="AW148" i="3"/>
  <c r="AO209" i="3"/>
  <c r="AQ209" i="3" s="1"/>
  <c r="AW15" i="3"/>
  <c r="AO20" i="3"/>
  <c r="AO168" i="3"/>
  <c r="AQ168" i="3" s="1"/>
  <c r="AO256" i="3"/>
  <c r="AQ256" i="3" s="1"/>
  <c r="AW81" i="3"/>
  <c r="AW182" i="3"/>
  <c r="AW173" i="3"/>
  <c r="AO247" i="3"/>
  <c r="AQ247" i="3" s="1"/>
  <c r="AO197" i="3"/>
  <c r="AQ197" i="3" s="1"/>
  <c r="AW71" i="3"/>
  <c r="AW146" i="3"/>
  <c r="AW196" i="3"/>
  <c r="AW17" i="3"/>
  <c r="AO61" i="3"/>
  <c r="AO57" i="3"/>
  <c r="AO169" i="3"/>
  <c r="AQ169" i="3" s="1"/>
  <c r="AW237" i="3"/>
  <c r="AW153" i="3"/>
  <c r="AW192" i="3"/>
  <c r="AW62" i="3"/>
  <c r="AW226" i="3"/>
  <c r="AO166" i="3"/>
  <c r="AQ166" i="3" s="1"/>
  <c r="AW206" i="3"/>
  <c r="AO147" i="3"/>
  <c r="AW243" i="3"/>
  <c r="AW234" i="3"/>
  <c r="AO257" i="3"/>
  <c r="AQ257" i="3" s="1"/>
  <c r="AO124" i="3"/>
  <c r="AW93" i="3"/>
  <c r="AW265" i="3"/>
  <c r="AO193" i="3"/>
  <c r="AQ193" i="3" s="1"/>
  <c r="AO201" i="3"/>
  <c r="AQ201" i="3" s="1"/>
  <c r="AO258" i="3"/>
  <c r="AQ258" i="3" s="1"/>
  <c r="AO100" i="3"/>
  <c r="AW18" i="3"/>
  <c r="AO146" i="3"/>
  <c r="AW185" i="3"/>
  <c r="AW263" i="3"/>
  <c r="AO107" i="3"/>
  <c r="AW190" i="3"/>
  <c r="AO203" i="3"/>
  <c r="AQ203" i="3" s="1"/>
  <c r="AW100" i="3"/>
  <c r="AO267" i="3"/>
  <c r="AQ267" i="3" s="1"/>
  <c r="AO111" i="3"/>
  <c r="AW261" i="3"/>
  <c r="AW97" i="3"/>
  <c r="AW187" i="3"/>
  <c r="AW269" i="3"/>
  <c r="AO181" i="3"/>
  <c r="AQ181" i="3" s="1"/>
  <c r="AO23" i="3"/>
  <c r="AO255" i="3"/>
  <c r="AQ255" i="3" s="1"/>
  <c r="AW256" i="3"/>
  <c r="AO134" i="3"/>
  <c r="AO38" i="3"/>
  <c r="AW116" i="3"/>
  <c r="AO177" i="3"/>
  <c r="AQ177" i="3" s="1"/>
  <c r="AW78" i="3"/>
  <c r="AO50" i="3"/>
  <c r="AO101" i="3"/>
  <c r="AW214" i="3"/>
  <c r="AP250" i="3"/>
  <c r="AP28" i="3"/>
  <c r="D27" i="4" s="1"/>
  <c r="S27" i="4" s="1"/>
  <c r="AW55" i="3"/>
  <c r="AW259" i="3"/>
  <c r="AW99" i="3"/>
  <c r="AW147" i="3"/>
  <c r="AO140" i="3"/>
  <c r="AO33" i="3"/>
  <c r="AW180" i="3"/>
  <c r="AO91" i="3"/>
  <c r="AP91" i="3" s="1"/>
  <c r="D90" i="4" s="1"/>
  <c r="S90" i="4" s="1"/>
  <c r="AW166" i="3"/>
  <c r="AO262" i="3"/>
  <c r="AQ262" i="3" s="1"/>
  <c r="AW149" i="3"/>
  <c r="AO253" i="3"/>
  <c r="AQ253" i="3" s="1"/>
  <c r="AW183" i="3"/>
  <c r="AW155" i="3"/>
  <c r="AO246" i="3"/>
  <c r="AQ246" i="3" s="1"/>
  <c r="AO182" i="3"/>
  <c r="AQ182" i="3" s="1"/>
  <c r="AO172" i="3"/>
  <c r="AQ172" i="3" s="1"/>
  <c r="AW225" i="3"/>
  <c r="AO67" i="3"/>
  <c r="AW65" i="3"/>
  <c r="AO94" i="3"/>
  <c r="AW52" i="3"/>
  <c r="AP114" i="3"/>
  <c r="D113" i="4" s="1"/>
  <c r="S113" i="4" s="1"/>
  <c r="AO73" i="3"/>
  <c r="AO102" i="3"/>
  <c r="AO72" i="3"/>
  <c r="AO80" i="3"/>
  <c r="AW50" i="3"/>
  <c r="AO138" i="3"/>
  <c r="AO46" i="3"/>
  <c r="AW162" i="3"/>
  <c r="AO244" i="3"/>
  <c r="AQ244" i="3" s="1"/>
  <c r="AW152" i="3"/>
  <c r="AW134" i="3"/>
  <c r="AO32" i="3"/>
  <c r="AW218" i="3"/>
  <c r="AP138" i="3"/>
  <c r="D137" i="4" s="1"/>
  <c r="S137" i="4" s="1"/>
  <c r="AO116" i="3"/>
  <c r="AO223" i="3"/>
  <c r="AQ223" i="3" s="1"/>
  <c r="AO120" i="3"/>
  <c r="AO68" i="3"/>
  <c r="AW129" i="3"/>
  <c r="AW92" i="3"/>
  <c r="AO119" i="3"/>
  <c r="AO76" i="3"/>
  <c r="AW217" i="3"/>
  <c r="AO152" i="3"/>
  <c r="AO122" i="3"/>
  <c r="AO156" i="3"/>
  <c r="AW137" i="3"/>
  <c r="AW209" i="3"/>
  <c r="AO159" i="3"/>
  <c r="AP159" i="3" s="1"/>
  <c r="D158" i="4" s="1"/>
  <c r="S158" i="4" s="1"/>
  <c r="AO53" i="3"/>
  <c r="AW66" i="3"/>
  <c r="AO272" i="3"/>
  <c r="AQ272" i="3" s="1"/>
  <c r="AO136" i="3"/>
  <c r="AW117" i="3"/>
  <c r="AO52" i="3"/>
  <c r="AO165" i="3"/>
  <c r="AQ165" i="3" s="1"/>
  <c r="AO31" i="3"/>
  <c r="AW105" i="3"/>
  <c r="AW84" i="3"/>
  <c r="AO176" i="3"/>
  <c r="AQ176" i="3" s="1"/>
  <c r="AO74" i="3"/>
  <c r="AW45" i="3"/>
  <c r="AW171" i="3"/>
  <c r="AW67" i="3"/>
  <c r="AO85" i="3"/>
  <c r="AO18" i="3"/>
  <c r="C17" i="4" s="1"/>
  <c r="AW219" i="3"/>
  <c r="AO269" i="3"/>
  <c r="AQ269" i="3" s="1"/>
  <c r="AO81" i="3"/>
  <c r="AW151" i="3"/>
  <c r="AP111" i="3"/>
  <c r="D110" i="4" s="1"/>
  <c r="S110" i="4" s="1"/>
  <c r="AW215" i="3"/>
  <c r="AP32" i="3"/>
  <c r="D31" i="4" s="1"/>
  <c r="S31" i="4" s="1"/>
  <c r="AP54" i="3"/>
  <c r="D53" i="4" s="1"/>
  <c r="S53" i="4" s="1"/>
  <c r="AP68" i="3"/>
  <c r="D67" i="4" s="1"/>
  <c r="S67" i="4" s="1"/>
  <c r="AO71" i="3"/>
  <c r="AW220" i="3"/>
  <c r="AW188" i="3"/>
  <c r="AW167" i="3"/>
  <c r="AO217" i="3"/>
  <c r="AQ217" i="3" s="1"/>
  <c r="AW138" i="3"/>
  <c r="AP122" i="3"/>
  <c r="D121" i="4" s="1"/>
  <c r="S121" i="4" s="1"/>
  <c r="AO127" i="3"/>
  <c r="AO157" i="3"/>
  <c r="AW233" i="3"/>
  <c r="AW26" i="3"/>
  <c r="AO51" i="3"/>
  <c r="AO97" i="3"/>
  <c r="AO48" i="3"/>
  <c r="AW61" i="3"/>
  <c r="AO40" i="3"/>
  <c r="AO194" i="3"/>
  <c r="AQ194" i="3" s="1"/>
  <c r="AO98" i="3"/>
  <c r="AO268" i="3"/>
  <c r="AQ268" i="3" s="1"/>
  <c r="AO271" i="3"/>
  <c r="AQ271" i="3" s="1"/>
  <c r="AO236" i="3"/>
  <c r="AQ236" i="3" s="1"/>
  <c r="AO131" i="3"/>
  <c r="AW113" i="3"/>
  <c r="AO82" i="3"/>
  <c r="AO123" i="3"/>
  <c r="AW43" i="3"/>
  <c r="AW91" i="3"/>
  <c r="AW112" i="3"/>
  <c r="AO117" i="3"/>
  <c r="AP117" i="3" s="1"/>
  <c r="D116" i="4" s="1"/>
  <c r="S116" i="4" s="1"/>
  <c r="AO25" i="3"/>
  <c r="AO35" i="3"/>
  <c r="AO186" i="3"/>
  <c r="AQ186" i="3" s="1"/>
  <c r="AO195" i="3"/>
  <c r="AQ195" i="3" s="1"/>
  <c r="AW108" i="3"/>
  <c r="AO150" i="3"/>
  <c r="AP150" i="3" s="1"/>
  <c r="D149" i="4" s="1"/>
  <c r="S149" i="4" s="1"/>
  <c r="AO37" i="3"/>
  <c r="AO261" i="3"/>
  <c r="AW29" i="3"/>
  <c r="AP35" i="3"/>
  <c r="D34" i="4" s="1"/>
  <c r="S34" i="4" s="1"/>
  <c r="AW221" i="3"/>
  <c r="AO139" i="3"/>
  <c r="AW9" i="3"/>
  <c r="AW207" i="3"/>
  <c r="AO221" i="3"/>
  <c r="AQ221" i="3" s="1"/>
  <c r="AW40" i="3"/>
  <c r="AW96" i="3"/>
  <c r="AW34" i="3"/>
  <c r="AO44" i="3"/>
  <c r="AW135" i="3"/>
  <c r="AO161" i="3"/>
  <c r="AP161" i="3" s="1"/>
  <c r="D160" i="4" s="1"/>
  <c r="S160" i="4" s="1"/>
  <c r="AO128" i="3"/>
  <c r="AP128" i="3" s="1"/>
  <c r="D127" i="4" s="1"/>
  <c r="S127" i="4" s="1"/>
  <c r="AW109" i="3"/>
  <c r="AO144" i="3"/>
  <c r="AW16" i="3"/>
  <c r="AW107" i="3"/>
  <c r="AW242" i="3"/>
  <c r="AW267" i="3"/>
  <c r="AO109" i="3"/>
  <c r="AW272" i="3"/>
  <c r="AO7" i="3"/>
  <c r="AW47" i="3"/>
  <c r="AW98" i="3"/>
  <c r="AW57" i="3"/>
  <c r="AO196" i="3"/>
  <c r="AQ196" i="3" s="1"/>
  <c r="AO162" i="3"/>
  <c r="AQ162" i="3" s="1"/>
  <c r="AW72" i="3"/>
  <c r="AO92" i="3"/>
  <c r="AW39" i="3"/>
  <c r="AO151" i="3"/>
  <c r="AW131" i="3"/>
  <c r="AO231" i="3"/>
  <c r="AQ231" i="3" s="1"/>
  <c r="AW179" i="3"/>
  <c r="AP47" i="3"/>
  <c r="D46" i="4" s="1"/>
  <c r="S46" i="4" s="1"/>
  <c r="AO104" i="3"/>
  <c r="AW141" i="3"/>
  <c r="AW200" i="3"/>
  <c r="AW252" i="3"/>
  <c r="AW195" i="3"/>
  <c r="AO216" i="3"/>
  <c r="AQ216" i="3" s="1"/>
  <c r="AO218" i="3"/>
  <c r="AQ218" i="3" s="1"/>
  <c r="AO78" i="3"/>
  <c r="AO241" i="3"/>
  <c r="AQ241" i="3" s="1"/>
  <c r="AW143" i="3"/>
  <c r="AP135" i="3"/>
  <c r="D134" i="4" s="1"/>
  <c r="S134" i="4" s="1"/>
  <c r="AW111" i="3"/>
  <c r="AO153" i="3"/>
  <c r="AO243" i="3"/>
  <c r="AQ243" i="3" s="1"/>
  <c r="AW11" i="3"/>
  <c r="AO200" i="3"/>
  <c r="AQ200" i="3" s="1"/>
  <c r="AP136" i="3"/>
  <c r="D135" i="4" s="1"/>
  <c r="S135" i="4" s="1"/>
  <c r="AW213" i="3"/>
  <c r="AO191" i="3"/>
  <c r="AQ191" i="3" s="1"/>
  <c r="AP109" i="3"/>
  <c r="D108" i="4" s="1"/>
  <c r="S108" i="4" s="1"/>
  <c r="AW19" i="3"/>
  <c r="AP31" i="3"/>
  <c r="D30" i="4" s="1"/>
  <c r="S30" i="4" s="1"/>
  <c r="AW175" i="3"/>
  <c r="AW248" i="3"/>
  <c r="AW20" i="3"/>
  <c r="AO178" i="3"/>
  <c r="AQ178" i="3" s="1"/>
  <c r="AW216" i="3"/>
  <c r="AO199" i="3"/>
  <c r="AQ199" i="3" s="1"/>
  <c r="AO167" i="3"/>
  <c r="AQ167" i="3" s="1"/>
  <c r="AP92" i="3"/>
  <c r="D91" i="4" s="1"/>
  <c r="S91" i="4" s="1"/>
  <c r="AW257" i="3"/>
  <c r="AO113" i="3"/>
  <c r="AO121" i="3"/>
  <c r="AP50" i="3"/>
  <c r="D49" i="4" s="1"/>
  <c r="S49" i="4" s="1"/>
  <c r="AO95" i="3"/>
  <c r="AO17" i="3"/>
  <c r="AP218" i="3"/>
  <c r="AP234" i="3"/>
  <c r="AP235" i="3"/>
  <c r="AO179" i="3"/>
  <c r="AQ179" i="3" s="1"/>
  <c r="AW42" i="3"/>
  <c r="AW193" i="3"/>
  <c r="AO163" i="3"/>
  <c r="AW223" i="3"/>
  <c r="AO90" i="3"/>
  <c r="AW189" i="3"/>
  <c r="AW133" i="3"/>
  <c r="AW212" i="3"/>
  <c r="AP127" i="3"/>
  <c r="D126" i="4" s="1"/>
  <c r="S126" i="4" s="1"/>
  <c r="AW262" i="3"/>
  <c r="AO27" i="3"/>
  <c r="AP27" i="3" s="1"/>
  <c r="D26" i="4" s="1"/>
  <c r="S26" i="4" s="1"/>
  <c r="AP157" i="3"/>
  <c r="D156" i="4" s="1"/>
  <c r="S156" i="4" s="1"/>
  <c r="AO96" i="3"/>
  <c r="AW79" i="3"/>
  <c r="AP97" i="3"/>
  <c r="D96" i="4" s="1"/>
  <c r="S96" i="4" s="1"/>
  <c r="AO240" i="3"/>
  <c r="AQ240" i="3" s="1"/>
  <c r="AO219" i="3"/>
  <c r="AQ219" i="3" s="1"/>
  <c r="AO108" i="3"/>
  <c r="AO132" i="3"/>
  <c r="AW127" i="3"/>
  <c r="AO42" i="3"/>
  <c r="AW201" i="3"/>
  <c r="AO213" i="3"/>
  <c r="AQ213" i="3" s="1"/>
  <c r="AW89" i="3"/>
  <c r="AW36" i="3"/>
  <c r="AW80" i="3"/>
  <c r="AW260" i="3"/>
  <c r="AW123" i="3"/>
  <c r="AO143" i="3"/>
  <c r="AW177" i="3"/>
  <c r="AW56" i="3"/>
  <c r="AP221" i="3"/>
  <c r="AP182" i="3"/>
  <c r="AP9" i="3"/>
  <c r="D8" i="4" s="1"/>
  <c r="S8" i="4" s="1"/>
  <c r="AP176" i="3"/>
  <c r="AO249" i="3"/>
  <c r="AQ249" i="3" s="1"/>
  <c r="AO237" i="3"/>
  <c r="AQ237" i="3" s="1"/>
  <c r="AO21" i="3"/>
  <c r="AW235" i="3"/>
  <c r="AW268" i="3"/>
  <c r="AW95" i="3"/>
  <c r="AW203" i="3"/>
  <c r="AO129" i="3"/>
  <c r="AW128" i="3"/>
  <c r="AO190" i="3"/>
  <c r="AQ190" i="3" s="1"/>
  <c r="AW266" i="3"/>
  <c r="AW69" i="3"/>
  <c r="AP96" i="3"/>
  <c r="D95" i="4" s="1"/>
  <c r="S95" i="4" s="1"/>
  <c r="AO70" i="3"/>
  <c r="AW241" i="3"/>
  <c r="AO65" i="3"/>
  <c r="AW130" i="3"/>
  <c r="AW76" i="3"/>
  <c r="AW240" i="3"/>
  <c r="AO77" i="3"/>
  <c r="AO171" i="3"/>
  <c r="AQ171" i="3" s="1"/>
  <c r="AW198" i="3"/>
  <c r="AO34" i="3"/>
  <c r="AW74" i="3"/>
  <c r="AW86" i="3"/>
  <c r="AO41" i="3"/>
  <c r="AO259" i="3"/>
  <c r="AQ259" i="3" s="1"/>
  <c r="AW115" i="3"/>
  <c r="AW85" i="3"/>
  <c r="AW163" i="3"/>
  <c r="AW104" i="3"/>
  <c r="AW87" i="3"/>
  <c r="AW32" i="3"/>
  <c r="AP184" i="3"/>
  <c r="AP191" i="3"/>
  <c r="AP240" i="3"/>
  <c r="AP44" i="3"/>
  <c r="D43" i="4" s="1"/>
  <c r="S43" i="4" s="1"/>
  <c r="AO11" i="3"/>
  <c r="AP30" i="3"/>
  <c r="D29" i="4" s="1"/>
  <c r="S29" i="4" s="1"/>
  <c r="AW121" i="3"/>
  <c r="AP16" i="3"/>
  <c r="D15" i="4" s="1"/>
  <c r="S15" i="4" s="1"/>
  <c r="AW132" i="3"/>
  <c r="AO145" i="3"/>
  <c r="AO227" i="3"/>
  <c r="AQ227" i="3" s="1"/>
  <c r="AP244" i="3"/>
  <c r="AP167" i="3"/>
  <c r="AP207" i="3"/>
  <c r="AP40" i="3"/>
  <c r="D39" i="4" s="1"/>
  <c r="S39" i="4" s="1"/>
  <c r="AO260" i="3"/>
  <c r="AQ260" i="3" s="1"/>
  <c r="AO251" i="3"/>
  <c r="AQ251" i="3" s="1"/>
  <c r="AW101" i="3"/>
  <c r="AW64" i="3"/>
  <c r="AW208" i="3"/>
  <c r="AP33" i="3"/>
  <c r="D32" i="4" s="1"/>
  <c r="S32" i="4" s="1"/>
  <c r="AO173" i="3"/>
  <c r="AQ173" i="3" s="1"/>
  <c r="AW154" i="3"/>
  <c r="AO118" i="3"/>
  <c r="AP78" i="3"/>
  <c r="D77" i="4" s="1"/>
  <c r="S77" i="4" s="1"/>
  <c r="AO79" i="3"/>
  <c r="AP79" i="3" s="1"/>
  <c r="D78" i="4" s="1"/>
  <c r="S78" i="4" s="1"/>
  <c r="AO189" i="3"/>
  <c r="AQ189" i="3" s="1"/>
  <c r="AW110" i="3"/>
  <c r="AO185" i="3"/>
  <c r="AQ185" i="3" s="1"/>
  <c r="AO198" i="3"/>
  <c r="AQ198" i="3" s="1"/>
  <c r="AW164" i="3"/>
  <c r="AW239" i="3"/>
  <c r="AP48" i="3"/>
  <c r="D47" i="4" s="1"/>
  <c r="S47" i="4" s="1"/>
  <c r="AW35" i="3"/>
  <c r="AW197" i="3"/>
  <c r="AP57" i="3"/>
  <c r="D56" i="4" s="1"/>
  <c r="S56" i="4" s="1"/>
  <c r="AW160" i="3"/>
  <c r="AW227" i="3"/>
  <c r="AO183" i="3"/>
  <c r="AQ183" i="3" s="1"/>
  <c r="AW136" i="3"/>
  <c r="AW165" i="3"/>
  <c r="AW181" i="3"/>
  <c r="AW150" i="3"/>
  <c r="AO43" i="3"/>
  <c r="AP43" i="3" s="1"/>
  <c r="D42" i="4" s="1"/>
  <c r="S42" i="4" s="1"/>
  <c r="AO230" i="3"/>
  <c r="AQ230" i="3" s="1"/>
  <c r="AW7" i="3"/>
  <c r="AO56" i="3"/>
  <c r="AP203" i="3"/>
  <c r="AP214" i="3"/>
  <c r="AP61" i="3"/>
  <c r="D60" i="4" s="1"/>
  <c r="S60" i="4" s="1"/>
  <c r="AW33" i="3"/>
  <c r="AW157" i="3"/>
  <c r="AO208" i="3"/>
  <c r="AQ208" i="3" s="1"/>
  <c r="AO93" i="3"/>
  <c r="AW120" i="3"/>
  <c r="AW211" i="3"/>
  <c r="AW172" i="3"/>
  <c r="AO148" i="3"/>
  <c r="AW142" i="3"/>
  <c r="AW251" i="3"/>
  <c r="AO242" i="3"/>
  <c r="AQ242" i="3" s="1"/>
  <c r="AW58" i="3"/>
  <c r="AW174" i="3"/>
  <c r="AW114" i="3"/>
  <c r="AO155" i="3"/>
  <c r="AO226" i="3"/>
  <c r="AQ226" i="3" s="1"/>
  <c r="AO160" i="3"/>
  <c r="AP160" i="3" s="1"/>
  <c r="D159" i="4" s="1"/>
  <c r="S159" i="4" s="1"/>
  <c r="AO8" i="3"/>
  <c r="AP8" i="3" s="1"/>
  <c r="D7" i="4" s="1"/>
  <c r="AO88" i="3"/>
  <c r="AO210" i="3"/>
  <c r="AQ210" i="3" s="1"/>
  <c r="AO205" i="3"/>
  <c r="AQ205" i="3" s="1"/>
  <c r="AP42" i="3"/>
  <c r="D41" i="4" s="1"/>
  <c r="S41" i="4" s="1"/>
  <c r="AW145" i="3"/>
  <c r="AO26" i="3"/>
  <c r="AP26" i="3" s="1"/>
  <c r="D25" i="4" s="1"/>
  <c r="S25" i="4" s="1"/>
  <c r="AW54" i="3"/>
  <c r="AW186" i="3"/>
  <c r="AO274" i="3"/>
  <c r="AQ274" i="3" s="1"/>
  <c r="AO238" i="3"/>
  <c r="AQ238" i="3" s="1"/>
  <c r="AW94" i="3"/>
  <c r="AO137" i="3"/>
  <c r="AO103" i="3"/>
  <c r="AW25" i="3"/>
  <c r="AO24" i="3"/>
  <c r="AP24" i="3" s="1"/>
  <c r="D23" i="4" s="1"/>
  <c r="S23" i="4" s="1"/>
  <c r="AP259" i="3"/>
  <c r="AP74" i="3"/>
  <c r="D73" i="4" s="1"/>
  <c r="S73" i="4" s="1"/>
  <c r="AW159" i="3"/>
  <c r="AO39" i="3"/>
  <c r="AO225" i="3"/>
  <c r="AQ225" i="3" s="1"/>
  <c r="AP18" i="3"/>
  <c r="D17" i="4" s="1"/>
  <c r="S17" i="4" s="1"/>
  <c r="AW83" i="3"/>
  <c r="AO270" i="3"/>
  <c r="AQ270" i="3" s="1"/>
  <c r="AW103" i="3"/>
  <c r="AP236" i="3"/>
  <c r="AP257" i="3"/>
  <c r="AP171" i="3"/>
  <c r="AP267" i="3"/>
  <c r="AW178" i="3"/>
  <c r="AP104" i="3"/>
  <c r="D103" i="4" s="1"/>
  <c r="S103" i="4" s="1"/>
  <c r="AW230" i="3"/>
  <c r="AO204" i="3"/>
  <c r="AQ204" i="3" s="1"/>
  <c r="AO212" i="3"/>
  <c r="AQ212" i="3" s="1"/>
  <c r="AO245" i="3"/>
  <c r="AO69" i="3"/>
  <c r="AO273" i="3"/>
  <c r="AQ273" i="3" s="1"/>
  <c r="AO49" i="3"/>
  <c r="AO106" i="3"/>
  <c r="AW13" i="3"/>
  <c r="AW144" i="3"/>
  <c r="AW60" i="3"/>
  <c r="AO149" i="3"/>
  <c r="AO14" i="3"/>
  <c r="AW205" i="3"/>
  <c r="AW273" i="3"/>
  <c r="AW229" i="3"/>
  <c r="AW158" i="3"/>
  <c r="AP73" i="3"/>
  <c r="D72" i="4" s="1"/>
  <c r="S72" i="4" s="1"/>
  <c r="AP102" i="3"/>
  <c r="D101" i="4" s="1"/>
  <c r="S101" i="4" s="1"/>
  <c r="AW28" i="3"/>
  <c r="AW236" i="3"/>
  <c r="AO202" i="3"/>
  <c r="AO99" i="3"/>
  <c r="AO180" i="3"/>
  <c r="AQ180" i="3" s="1"/>
  <c r="AW271" i="3"/>
  <c r="AO229" i="3"/>
  <c r="AQ229" i="3" s="1"/>
  <c r="AO75" i="3"/>
  <c r="AW246" i="3"/>
  <c r="AO224" i="3"/>
  <c r="AQ224" i="3" s="1"/>
  <c r="AO112" i="3"/>
  <c r="AP186" i="3"/>
  <c r="AP256" i="3"/>
  <c r="AP156" i="3"/>
  <c r="D155" i="4" s="1"/>
  <c r="S155" i="4" s="1"/>
  <c r="AP275" i="3"/>
  <c r="AP151" i="3"/>
  <c r="D150" i="4" s="1"/>
  <c r="S150" i="4" s="1"/>
  <c r="AO233" i="3"/>
  <c r="AQ233" i="3" s="1"/>
  <c r="AP37" i="3"/>
  <c r="D36" i="4" s="1"/>
  <c r="S36" i="4" s="1"/>
  <c r="AP124" i="3"/>
  <c r="D123" i="4" s="1"/>
  <c r="S123" i="4" s="1"/>
  <c r="AO84" i="3"/>
  <c r="AO115" i="3"/>
  <c r="AP115" i="3" s="1"/>
  <c r="D114" i="4" s="1"/>
  <c r="S114" i="4" s="1"/>
  <c r="AP90" i="3"/>
  <c r="D89" i="4" s="1"/>
  <c r="S89" i="4" s="1"/>
  <c r="AW102" i="3"/>
  <c r="AO62" i="3"/>
  <c r="AO170" i="3"/>
  <c r="AQ170" i="3" s="1"/>
  <c r="AO130" i="3"/>
  <c r="AW46" i="3"/>
  <c r="AW88" i="3"/>
  <c r="AO133" i="3"/>
  <c r="AP133" i="3" s="1"/>
  <c r="D132" i="4" s="1"/>
  <c r="S132" i="4" s="1"/>
  <c r="AW68" i="3"/>
  <c r="AW170" i="3"/>
  <c r="AO29" i="3"/>
  <c r="AO66" i="3"/>
  <c r="AW253" i="3"/>
  <c r="AW49" i="3"/>
  <c r="AO206" i="3"/>
  <c r="AQ206" i="3" s="1"/>
  <c r="AW31" i="3"/>
  <c r="AW53" i="3"/>
  <c r="AO125" i="3"/>
  <c r="AW231" i="3"/>
  <c r="AO266" i="3"/>
  <c r="AQ266" i="3" s="1"/>
  <c r="AW126" i="3"/>
  <c r="AW194" i="3"/>
  <c r="AO83" i="3"/>
  <c r="AO239" i="3"/>
  <c r="AQ239" i="3" s="1"/>
  <c r="AW245" i="3"/>
  <c r="AO15" i="3"/>
  <c r="AW24" i="3"/>
  <c r="AP195" i="3"/>
  <c r="AP208" i="3"/>
  <c r="AP268" i="3"/>
  <c r="AP266" i="3"/>
  <c r="AP65" i="3"/>
  <c r="D64" i="4" s="1"/>
  <c r="S64" i="4" s="1"/>
  <c r="AW73" i="3"/>
  <c r="AO13" i="3"/>
  <c r="AP13" i="3" s="1"/>
  <c r="D12" i="4" s="1"/>
  <c r="S12" i="4" s="1"/>
  <c r="AW184" i="3"/>
  <c r="AW12" i="3"/>
  <c r="AO232" i="3"/>
  <c r="AQ232" i="3" s="1"/>
  <c r="AP81" i="3"/>
  <c r="D80" i="4" s="1"/>
  <c r="S80" i="4" s="1"/>
  <c r="AW222" i="3"/>
  <c r="AP166" i="3"/>
  <c r="AP247" i="3"/>
  <c r="AP39" i="3"/>
  <c r="D38" i="4" s="1"/>
  <c r="S38" i="4" s="1"/>
  <c r="AP199" i="3"/>
  <c r="AO192" i="3"/>
  <c r="AW210" i="3"/>
  <c r="AW38" i="3"/>
  <c r="AP140" i="3"/>
  <c r="D139" i="4" s="1"/>
  <c r="S139" i="4" s="1"/>
  <c r="AO36" i="3"/>
  <c r="AW27" i="3"/>
  <c r="AW22" i="3"/>
  <c r="AO10" i="3"/>
  <c r="AW82" i="3"/>
  <c r="AO211" i="3"/>
  <c r="AO126" i="3"/>
  <c r="AO175" i="3"/>
  <c r="AQ175" i="3" s="1"/>
  <c r="AO264" i="3"/>
  <c r="AQ264" i="3" s="1"/>
  <c r="AW168" i="3"/>
  <c r="AO45" i="3"/>
  <c r="AP45" i="3" s="1"/>
  <c r="D44" i="4" s="1"/>
  <c r="S44" i="4" s="1"/>
  <c r="AP67" i="3"/>
  <c r="D66" i="4" s="1"/>
  <c r="S66" i="4" s="1"/>
  <c r="AW204" i="3"/>
  <c r="AP94" i="3"/>
  <c r="D93" i="4" s="1"/>
  <c r="S93" i="4" s="1"/>
  <c r="AW232" i="3"/>
  <c r="AO158" i="3"/>
  <c r="AW10" i="3"/>
  <c r="AP11" i="3"/>
  <c r="D10" i="4" s="1"/>
  <c r="S10" i="4" s="1"/>
  <c r="AO142" i="3"/>
  <c r="AP142" i="3" s="1"/>
  <c r="D141" i="4" s="1"/>
  <c r="S141" i="4" s="1"/>
  <c r="AW63" i="3"/>
  <c r="AO87" i="3"/>
  <c r="AW41" i="3"/>
  <c r="AP113" i="3"/>
  <c r="D112" i="4" s="1"/>
  <c r="S112" i="4" s="1"/>
  <c r="AO188" i="3"/>
  <c r="AO248" i="3"/>
  <c r="AQ248" i="3" s="1"/>
  <c r="AO59" i="3"/>
  <c r="AO174" i="3"/>
  <c r="AP20" i="3"/>
  <c r="D19" i="4" s="1"/>
  <c r="S19" i="4" s="1"/>
  <c r="AP197" i="3"/>
  <c r="AP119" i="3"/>
  <c r="D118" i="4" s="1"/>
  <c r="S118" i="4" s="1"/>
  <c r="AP143" i="3"/>
  <c r="D142" i="4" s="1"/>
  <c r="S142" i="4" s="1"/>
  <c r="AP172" i="3"/>
  <c r="AP134" i="3"/>
  <c r="D133" i="4" s="1"/>
  <c r="S133" i="4" s="1"/>
  <c r="AW202" i="3"/>
  <c r="AW124" i="3"/>
  <c r="AW44" i="3"/>
  <c r="AO60" i="3"/>
  <c r="AP36" i="3"/>
  <c r="D35" i="4" s="1"/>
  <c r="S35" i="4" s="1"/>
  <c r="AW30" i="3"/>
  <c r="AW37" i="3"/>
  <c r="AO89" i="3"/>
  <c r="AW140" i="3"/>
  <c r="AW161" i="3"/>
  <c r="AW70" i="3"/>
  <c r="AO263" i="3"/>
  <c r="AQ263" i="3" s="1"/>
  <c r="AW258" i="3"/>
  <c r="AW75" i="3"/>
  <c r="AO154" i="3"/>
  <c r="AW169" i="3"/>
  <c r="AO58" i="3"/>
  <c r="AO220" i="3"/>
  <c r="AO187" i="3"/>
  <c r="AQ187" i="3" s="1"/>
  <c r="AW264" i="3"/>
  <c r="AW8" i="3"/>
  <c r="AW199" i="3"/>
  <c r="AW224" i="3"/>
  <c r="AW191" i="3"/>
  <c r="AP87" i="3"/>
  <c r="D86" i="4" s="1"/>
  <c r="S86" i="4" s="1"/>
  <c r="AW238" i="3"/>
  <c r="AO63" i="3"/>
  <c r="AO64" i="3"/>
  <c r="AW122" i="3"/>
  <c r="AO110" i="3"/>
  <c r="AW21" i="3"/>
  <c r="AO228" i="3"/>
  <c r="AQ228" i="3" s="1"/>
  <c r="AO141" i="3"/>
  <c r="AP223" i="3"/>
  <c r="AP145" i="3"/>
  <c r="D144" i="4" s="1"/>
  <c r="S144" i="4" s="1"/>
  <c r="AP110" i="3"/>
  <c r="D109" i="4" s="1"/>
  <c r="S109" i="4" s="1"/>
  <c r="AP231" i="3"/>
  <c r="AP149" i="3"/>
  <c r="D148" i="4" s="1"/>
  <c r="S148" i="4" s="1"/>
  <c r="AP212" i="3"/>
  <c r="AP82" i="3"/>
  <c r="D81" i="4" s="1"/>
  <c r="S81" i="4" s="1"/>
  <c r="AP243" i="3"/>
  <c r="AP225" i="3"/>
  <c r="AP252" i="3"/>
  <c r="AP239" i="3"/>
  <c r="AP181" i="3"/>
  <c r="AP193" i="3"/>
  <c r="AP233" i="3"/>
  <c r="AP178" i="3"/>
  <c r="AP170" i="3"/>
  <c r="AP201" i="3"/>
  <c r="AP219" i="3"/>
  <c r="AP62" i="3"/>
  <c r="D61" i="4" s="1"/>
  <c r="S61" i="4" s="1"/>
  <c r="AP205" i="3"/>
  <c r="AP187" i="3"/>
  <c r="AP198" i="3"/>
  <c r="AP168" i="3"/>
  <c r="AP19" i="3"/>
  <c r="D18" i="4" s="1"/>
  <c r="S18" i="4" s="1"/>
  <c r="AP273" i="3"/>
  <c r="AP189" i="3"/>
  <c r="AP262" i="3"/>
  <c r="AP41" i="3"/>
  <c r="D40" i="4" s="1"/>
  <c r="S40" i="4" s="1"/>
  <c r="AP148" i="3"/>
  <c r="D147" i="4" s="1"/>
  <c r="S147" i="4" s="1"/>
  <c r="AP105" i="3"/>
  <c r="D104" i="4" s="1"/>
  <c r="S104" i="4" s="1"/>
  <c r="AP180" i="3"/>
  <c r="AP164" i="3"/>
  <c r="AP83" i="3"/>
  <c r="D82" i="4" s="1"/>
  <c r="S82" i="4" s="1"/>
  <c r="AP17" i="3"/>
  <c r="D16" i="4" s="1"/>
  <c r="S16" i="4" s="1"/>
  <c r="AP255" i="3"/>
  <c r="AP23" i="3"/>
  <c r="D22" i="4" s="1"/>
  <c r="S22" i="4" s="1"/>
  <c r="AP183" i="3"/>
  <c r="AP38" i="3"/>
  <c r="D37" i="4" s="1"/>
  <c r="S37" i="4" s="1"/>
  <c r="AP100" i="3"/>
  <c r="D99" i="4" s="1"/>
  <c r="S99" i="4" s="1"/>
  <c r="AP227" i="3"/>
  <c r="AP130" i="3"/>
  <c r="D129" i="4" s="1"/>
  <c r="S129" i="4" s="1"/>
  <c r="AP120" i="3"/>
  <c r="D119" i="4" s="1"/>
  <c r="S119" i="4" s="1"/>
  <c r="AP237" i="3"/>
  <c r="AP200" i="3"/>
  <c r="AP173" i="3"/>
  <c r="AP34" i="3"/>
  <c r="D33" i="4" s="1"/>
  <c r="S33" i="4" s="1"/>
  <c r="AP179" i="3"/>
  <c r="AP242" i="3"/>
  <c r="AP249" i="3"/>
  <c r="AP230" i="3"/>
  <c r="AP85" i="3"/>
  <c r="D84" i="4" s="1"/>
  <c r="S84" i="4" s="1"/>
  <c r="AP271" i="3"/>
  <c r="AP260" i="3"/>
  <c r="AP152" i="3"/>
  <c r="D151" i="4" s="1"/>
  <c r="S151" i="4" s="1"/>
  <c r="AP59" i="3"/>
  <c r="D58" i="4" s="1"/>
  <c r="S58" i="4" s="1"/>
  <c r="AP190" i="3"/>
  <c r="AP258" i="3"/>
  <c r="AP228" i="3"/>
  <c r="AP209" i="3"/>
  <c r="AP194" i="3"/>
  <c r="AP60" i="3"/>
  <c r="D59" i="4" s="1"/>
  <c r="S59" i="4" s="1"/>
  <c r="AP132" i="3"/>
  <c r="D131" i="4" s="1"/>
  <c r="S131" i="4" s="1"/>
  <c r="AP77" i="3"/>
  <c r="D76" i="4" s="1"/>
  <c r="S76" i="4" s="1"/>
  <c r="AP251" i="3"/>
  <c r="AP265" i="3"/>
  <c r="AP123" i="3"/>
  <c r="D122" i="4" s="1"/>
  <c r="S122" i="4" s="1"/>
  <c r="AP204" i="3"/>
  <c r="AP51" i="3"/>
  <c r="D50" i="4" s="1"/>
  <c r="S50" i="4" s="1"/>
  <c r="AP177" i="3"/>
  <c r="AP15" i="3"/>
  <c r="D14" i="4" s="1"/>
  <c r="S14" i="4" s="1"/>
  <c r="AP129" i="3"/>
  <c r="D128" i="4" s="1"/>
  <c r="S128" i="4" s="1"/>
  <c r="BN31" i="3"/>
  <c r="BN24" i="3"/>
  <c r="BN23" i="3"/>
  <c r="BN26" i="3"/>
  <c r="BN16" i="3"/>
  <c r="BN11" i="3"/>
  <c r="BN22" i="3"/>
  <c r="BN18" i="3"/>
  <c r="BN17" i="3"/>
  <c r="BN12" i="3"/>
  <c r="BN10" i="3"/>
  <c r="A39" i="5"/>
  <c r="A39" i="8"/>
  <c r="E159" i="8"/>
  <c r="G159" i="8" s="1"/>
  <c r="D159" i="8"/>
  <c r="W159" i="8"/>
  <c r="H159" i="8"/>
  <c r="F159" i="8"/>
  <c r="H59" i="8"/>
  <c r="F59" i="8"/>
  <c r="D59" i="8"/>
  <c r="E59" i="8"/>
  <c r="G59" i="8" s="1"/>
  <c r="W59" i="8"/>
  <c r="W33" i="8"/>
  <c r="E33" i="8"/>
  <c r="G33" i="8" s="1"/>
  <c r="D33" i="8"/>
  <c r="F33" i="8"/>
  <c r="H33" i="8"/>
  <c r="M44" i="8"/>
  <c r="O44" i="8"/>
  <c r="N44" i="8"/>
  <c r="P44" i="8" s="1"/>
  <c r="Q44" i="8"/>
  <c r="W185" i="8"/>
  <c r="E185" i="8"/>
  <c r="G185" i="8" s="1"/>
  <c r="F185" i="8"/>
  <c r="D185" i="8"/>
  <c r="H185" i="8"/>
  <c r="E190" i="8"/>
  <c r="G190" i="8" s="1"/>
  <c r="F190" i="8"/>
  <c r="W190" i="8"/>
  <c r="D190" i="8"/>
  <c r="H190" i="8"/>
  <c r="M157" i="8"/>
  <c r="Q157" i="8"/>
  <c r="N157" i="8"/>
  <c r="P157" i="8" s="1"/>
  <c r="O157" i="8"/>
  <c r="BN61" i="3"/>
  <c r="BN96" i="3"/>
  <c r="BN107" i="3"/>
  <c r="BN100" i="3"/>
  <c r="BN236" i="3"/>
  <c r="BN201" i="3"/>
  <c r="BN149" i="3"/>
  <c r="BN180" i="3"/>
  <c r="BN121" i="3"/>
  <c r="BN234" i="3"/>
  <c r="BN196" i="3"/>
  <c r="BN67" i="3"/>
  <c r="BN266" i="3"/>
  <c r="BN161" i="3"/>
  <c r="BN260" i="3"/>
  <c r="BN177" i="3"/>
  <c r="BN114" i="3"/>
  <c r="BN29" i="3"/>
  <c r="BN221" i="3"/>
  <c r="BN84" i="3"/>
  <c r="BN110" i="3"/>
  <c r="BN184" i="3"/>
  <c r="BN155" i="3"/>
  <c r="BN126" i="3"/>
  <c r="BN93" i="3"/>
  <c r="BN58" i="3"/>
  <c r="BN262" i="3"/>
  <c r="BN235" i="3"/>
  <c r="BN105" i="3"/>
  <c r="BN47" i="3"/>
  <c r="BN226" i="3"/>
  <c r="BN49" i="3"/>
  <c r="BN116" i="3"/>
  <c r="BN218" i="3"/>
  <c r="BN241" i="3"/>
  <c r="BN109" i="3"/>
  <c r="BN220" i="3"/>
  <c r="BN213" i="3"/>
  <c r="BN70" i="3"/>
  <c r="BN263" i="3"/>
  <c r="BN72" i="3"/>
  <c r="BN151" i="3"/>
  <c r="BN51" i="3"/>
  <c r="BN231" i="3"/>
  <c r="BN190" i="3"/>
  <c r="BN57" i="3"/>
  <c r="BN37" i="3"/>
  <c r="BN86" i="3"/>
  <c r="BN181" i="3"/>
  <c r="BN62" i="3"/>
  <c r="BN138" i="3"/>
  <c r="BN139" i="3"/>
  <c r="BN203" i="3"/>
  <c r="BN219" i="3"/>
  <c r="BN140" i="3"/>
  <c r="BN168" i="3"/>
  <c r="BN76" i="3"/>
  <c r="BN205" i="3"/>
  <c r="BN247" i="3"/>
  <c r="BN176" i="3"/>
  <c r="BN145" i="3"/>
  <c r="BN106" i="3"/>
  <c r="BN113" i="3"/>
  <c r="BN229" i="3"/>
  <c r="D119" i="8"/>
  <c r="W119" i="8"/>
  <c r="E119" i="8"/>
  <c r="G119" i="8" s="1"/>
  <c r="F119" i="8"/>
  <c r="H119" i="8"/>
  <c r="O113" i="8"/>
  <c r="N113" i="8"/>
  <c r="P113" i="8" s="1"/>
  <c r="M113" i="8"/>
  <c r="Q113" i="8"/>
  <c r="D121" i="8"/>
  <c r="W121" i="8"/>
  <c r="F121" i="8"/>
  <c r="H121" i="8"/>
  <c r="E121" i="8"/>
  <c r="G121" i="8" s="1"/>
  <c r="M131" i="8"/>
  <c r="Q131" i="8"/>
  <c r="N131" i="8"/>
  <c r="P131" i="8" s="1"/>
  <c r="O131" i="8"/>
  <c r="D152" i="8"/>
  <c r="E152" i="8"/>
  <c r="G152" i="8" s="1"/>
  <c r="W152" i="8"/>
  <c r="H152" i="8"/>
  <c r="F152" i="8"/>
  <c r="H70" i="8"/>
  <c r="E70" i="8"/>
  <c r="G70" i="8" s="1"/>
  <c r="F70" i="8"/>
  <c r="D70" i="8"/>
  <c r="W70" i="8"/>
  <c r="F113" i="8"/>
  <c r="W113" i="8"/>
  <c r="E113" i="8"/>
  <c r="G113" i="8" s="1"/>
  <c r="D113" i="8"/>
  <c r="H113" i="8"/>
  <c r="O22" i="8"/>
  <c r="N22" i="8"/>
  <c r="P22" i="8" s="1"/>
  <c r="M22" i="8"/>
  <c r="Q22" i="8"/>
  <c r="W188" i="8"/>
  <c r="D188" i="8"/>
  <c r="F188" i="8"/>
  <c r="H188" i="8"/>
  <c r="E188" i="8"/>
  <c r="G188" i="8" s="1"/>
  <c r="W43" i="3"/>
  <c r="Y42" i="3"/>
  <c r="E109" i="8"/>
  <c r="G109" i="8" s="1"/>
  <c r="F109" i="8"/>
  <c r="H109" i="8"/>
  <c r="W109" i="8"/>
  <c r="D109" i="8"/>
  <c r="D178" i="8"/>
  <c r="F178" i="8"/>
  <c r="E178" i="8"/>
  <c r="G178" i="8" s="1"/>
  <c r="W178" i="8"/>
  <c r="H178" i="8"/>
  <c r="H65" i="8"/>
  <c r="W65" i="8"/>
  <c r="D65" i="8"/>
  <c r="F65" i="8"/>
  <c r="E65" i="8"/>
  <c r="G65" i="8" s="1"/>
  <c r="H197" i="8"/>
  <c r="F197" i="8"/>
  <c r="W197" i="8"/>
  <c r="E197" i="8"/>
  <c r="G197" i="8" s="1"/>
  <c r="D197" i="8"/>
  <c r="H64" i="8"/>
  <c r="E64" i="8"/>
  <c r="G64" i="8" s="1"/>
  <c r="F64" i="8"/>
  <c r="D64" i="8"/>
  <c r="W64" i="8"/>
  <c r="E187" i="8"/>
  <c r="G187" i="8" s="1"/>
  <c r="H187" i="8"/>
  <c r="D187" i="8"/>
  <c r="F187" i="8"/>
  <c r="W187" i="8"/>
  <c r="Q158" i="8"/>
  <c r="M158" i="8"/>
  <c r="N158" i="8"/>
  <c r="P158" i="8" s="1"/>
  <c r="O158" i="8"/>
  <c r="M128" i="8"/>
  <c r="Q128" i="8"/>
  <c r="N128" i="8"/>
  <c r="P128" i="8" s="1"/>
  <c r="O128" i="8"/>
  <c r="W25" i="8"/>
  <c r="E25" i="8"/>
  <c r="G25" i="8" s="1"/>
  <c r="H25" i="8"/>
  <c r="F25" i="8"/>
  <c r="D25" i="8"/>
  <c r="M42" i="8"/>
  <c r="Q42" i="8"/>
  <c r="O42" i="8"/>
  <c r="N42" i="8"/>
  <c r="P42" i="8" s="1"/>
  <c r="E83" i="8"/>
  <c r="G83" i="8" s="1"/>
  <c r="D83" i="8"/>
  <c r="F83" i="8"/>
  <c r="W83" i="8"/>
  <c r="H83" i="8"/>
  <c r="N27" i="8"/>
  <c r="P27" i="8" s="1"/>
  <c r="O27" i="8"/>
  <c r="M27" i="8"/>
  <c r="Q27" i="8"/>
  <c r="M25" i="8"/>
  <c r="N25" i="8"/>
  <c r="P25" i="8" s="1"/>
  <c r="Q25" i="8"/>
  <c r="O25" i="8"/>
  <c r="O169" i="8"/>
  <c r="Q169" i="8"/>
  <c r="N169" i="8"/>
  <c r="P169" i="8" s="1"/>
  <c r="M169" i="8"/>
  <c r="Q9" i="8"/>
  <c r="O9" i="8"/>
  <c r="M9" i="8"/>
  <c r="N9" i="8"/>
  <c r="P9" i="8" s="1"/>
  <c r="W127" i="8"/>
  <c r="H127" i="8"/>
  <c r="F127" i="8"/>
  <c r="E127" i="8"/>
  <c r="G127" i="8" s="1"/>
  <c r="D127" i="8"/>
  <c r="W20" i="8"/>
  <c r="F20" i="8"/>
  <c r="E20" i="8"/>
  <c r="G20" i="8" s="1"/>
  <c r="H20" i="8"/>
  <c r="D20" i="8"/>
  <c r="W17" i="8"/>
  <c r="F17" i="8"/>
  <c r="E17" i="8"/>
  <c r="G17" i="8" s="1"/>
  <c r="D17" i="8"/>
  <c r="H17" i="8"/>
  <c r="O13" i="8"/>
  <c r="N13" i="8"/>
  <c r="P13" i="8" s="1"/>
  <c r="M13" i="8"/>
  <c r="Q13" i="8"/>
  <c r="N82" i="8"/>
  <c r="P82" i="8" s="1"/>
  <c r="O82" i="8"/>
  <c r="Q82" i="8"/>
  <c r="M82" i="8"/>
  <c r="N119" i="8"/>
  <c r="P119" i="8" s="1"/>
  <c r="O119" i="8"/>
  <c r="M119" i="8"/>
  <c r="Q119" i="8"/>
  <c r="M185" i="8"/>
  <c r="Q185" i="8"/>
  <c r="O185" i="8"/>
  <c r="N185" i="8"/>
  <c r="P185" i="8" s="1"/>
  <c r="W23" i="8"/>
  <c r="H23" i="8"/>
  <c r="D23" i="8"/>
  <c r="F23" i="8"/>
  <c r="E23" i="8"/>
  <c r="G23" i="8" s="1"/>
  <c r="Q61" i="8"/>
  <c r="O61" i="8"/>
  <c r="N61" i="8"/>
  <c r="P61" i="8" s="1"/>
  <c r="M61" i="8"/>
  <c r="W151" i="8"/>
  <c r="D151" i="8"/>
  <c r="F151" i="8"/>
  <c r="E151" i="8"/>
  <c r="G151" i="8" s="1"/>
  <c r="H151" i="8"/>
  <c r="N179" i="8"/>
  <c r="P179" i="8" s="1"/>
  <c r="M179" i="8"/>
  <c r="Q179" i="8"/>
  <c r="O179" i="8"/>
  <c r="M116" i="8"/>
  <c r="Q116" i="8"/>
  <c r="N116" i="8"/>
  <c r="P116" i="8" s="1"/>
  <c r="O116" i="8"/>
  <c r="O148" i="8"/>
  <c r="Q148" i="8"/>
  <c r="M148" i="8"/>
  <c r="N148" i="8"/>
  <c r="P148" i="8" s="1"/>
  <c r="W77" i="8"/>
  <c r="F77" i="8"/>
  <c r="D77" i="8"/>
  <c r="E77" i="8"/>
  <c r="G77" i="8" s="1"/>
  <c r="H77" i="8"/>
  <c r="W168" i="8"/>
  <c r="D168" i="8"/>
  <c r="H168" i="8"/>
  <c r="E168" i="8"/>
  <c r="G168" i="8" s="1"/>
  <c r="F168" i="8"/>
  <c r="H136" i="8"/>
  <c r="E136" i="8"/>
  <c r="G136" i="8" s="1"/>
  <c r="F136" i="8"/>
  <c r="W136" i="8"/>
  <c r="D136" i="8"/>
  <c r="X39" i="3"/>
  <c r="AE38" i="3"/>
  <c r="F76" i="8"/>
  <c r="W76" i="8"/>
  <c r="H76" i="8"/>
  <c r="E76" i="8"/>
  <c r="G76" i="8" s="1"/>
  <c r="D76" i="8"/>
  <c r="W31" i="8"/>
  <c r="F31" i="8"/>
  <c r="D31" i="8"/>
  <c r="E31" i="8"/>
  <c r="G31" i="8" s="1"/>
  <c r="H31" i="8"/>
  <c r="O77" i="8"/>
  <c r="Q77" i="8"/>
  <c r="M77" i="8"/>
  <c r="N77" i="8"/>
  <c r="P77" i="8" s="1"/>
  <c r="W138" i="8"/>
  <c r="H138" i="8"/>
  <c r="F138" i="8"/>
  <c r="D138" i="8"/>
  <c r="E138" i="8"/>
  <c r="G138" i="8" s="1"/>
  <c r="O21" i="8"/>
  <c r="N21" i="8"/>
  <c r="P21" i="8" s="1"/>
  <c r="M21" i="8"/>
  <c r="Q21" i="8"/>
  <c r="N92" i="8"/>
  <c r="P92" i="8" s="1"/>
  <c r="O92" i="8"/>
  <c r="M92" i="8"/>
  <c r="Q92" i="8"/>
  <c r="E147" i="8"/>
  <c r="G147" i="8" s="1"/>
  <c r="F147" i="8"/>
  <c r="H147" i="8"/>
  <c r="D147" i="8"/>
  <c r="W147" i="8"/>
  <c r="O68" i="8"/>
  <c r="M68" i="8"/>
  <c r="Q68" i="8"/>
  <c r="N68" i="8"/>
  <c r="P68" i="8" s="1"/>
  <c r="Q117" i="8"/>
  <c r="O117" i="8"/>
  <c r="M117" i="8"/>
  <c r="N117" i="8"/>
  <c r="P117" i="8" s="1"/>
  <c r="H153" i="8"/>
  <c r="W153" i="8"/>
  <c r="E153" i="8"/>
  <c r="G153" i="8" s="1"/>
  <c r="F153" i="8"/>
  <c r="D153" i="8"/>
  <c r="Q66" i="8"/>
  <c r="M66" i="8"/>
  <c r="O66" i="8"/>
  <c r="N66" i="8"/>
  <c r="P66" i="8" s="1"/>
  <c r="F80" i="8"/>
  <c r="W80" i="8"/>
  <c r="E80" i="8"/>
  <c r="G80" i="8" s="1"/>
  <c r="D80" i="8"/>
  <c r="H80" i="8"/>
  <c r="M150" i="8"/>
  <c r="N150" i="8"/>
  <c r="P150" i="8" s="1"/>
  <c r="Q150" i="8"/>
  <c r="O150" i="8"/>
  <c r="N94" i="8"/>
  <c r="P94" i="8" s="1"/>
  <c r="M94" i="8"/>
  <c r="O94" i="8"/>
  <c r="Q94" i="8"/>
  <c r="Q143" i="8"/>
  <c r="O143" i="8"/>
  <c r="M143" i="8"/>
  <c r="N143" i="8"/>
  <c r="P143" i="8" s="1"/>
  <c r="O91" i="8"/>
  <c r="M91" i="8"/>
  <c r="N91" i="8"/>
  <c r="P91" i="8" s="1"/>
  <c r="Q91" i="8"/>
  <c r="O56" i="8"/>
  <c r="N56" i="8"/>
  <c r="P56" i="8" s="1"/>
  <c r="M56" i="8"/>
  <c r="R56" i="8" s="1"/>
  <c r="Q56" i="8"/>
  <c r="W15" i="8"/>
  <c r="D15" i="8"/>
  <c r="E15" i="8"/>
  <c r="G15" i="8" s="1"/>
  <c r="F15" i="8"/>
  <c r="H15" i="8"/>
  <c r="N156" i="8"/>
  <c r="P156" i="8" s="1"/>
  <c r="O156" i="8"/>
  <c r="M156" i="8"/>
  <c r="Q156" i="8"/>
  <c r="M167" i="8"/>
  <c r="O167" i="8"/>
  <c r="N167" i="8"/>
  <c r="P167" i="8" s="1"/>
  <c r="Q167" i="8"/>
  <c r="Q95" i="8"/>
  <c r="O95" i="8"/>
  <c r="M95" i="8"/>
  <c r="N95" i="8"/>
  <c r="P95" i="8" s="1"/>
  <c r="E120" i="8"/>
  <c r="G120" i="8" s="1"/>
  <c r="D120" i="8"/>
  <c r="H120" i="8"/>
  <c r="W120" i="8"/>
  <c r="F120" i="8"/>
  <c r="W19" i="8"/>
  <c r="F19" i="8"/>
  <c r="E19" i="8"/>
  <c r="G19" i="8" s="1"/>
  <c r="D19" i="8"/>
  <c r="H19" i="8"/>
  <c r="W60" i="8"/>
  <c r="D60" i="8"/>
  <c r="H60" i="8"/>
  <c r="E60" i="8"/>
  <c r="G60" i="8" s="1"/>
  <c r="F60" i="8"/>
  <c r="BR28" i="3"/>
  <c r="BR15" i="3"/>
  <c r="BR9" i="3"/>
  <c r="BR19" i="3"/>
  <c r="BR16" i="3"/>
  <c r="BR237" i="3"/>
  <c r="BR166" i="3"/>
  <c r="BR260" i="3"/>
  <c r="BR68" i="3"/>
  <c r="BR50" i="3"/>
  <c r="BR144" i="3"/>
  <c r="BR209" i="3"/>
  <c r="BR254" i="3"/>
  <c r="BR56" i="3"/>
  <c r="BR205" i="3"/>
  <c r="BR39" i="3"/>
  <c r="BR138" i="3"/>
  <c r="BR70" i="3"/>
  <c r="BR71" i="3"/>
  <c r="BR69" i="3"/>
  <c r="BR141" i="3"/>
  <c r="BR148" i="3"/>
  <c r="BR54" i="3"/>
  <c r="BR79" i="3"/>
  <c r="BR33" i="3"/>
  <c r="BR93" i="3"/>
  <c r="BR57" i="3"/>
  <c r="BR225" i="3"/>
  <c r="BR210" i="3"/>
  <c r="BR149" i="3"/>
  <c r="BR43" i="3"/>
  <c r="BR163" i="3"/>
  <c r="BR266" i="3"/>
  <c r="BR183" i="3"/>
  <c r="BR64" i="3"/>
  <c r="BR196" i="3"/>
  <c r="BR182" i="3"/>
  <c r="BR135" i="3"/>
  <c r="BR53" i="3"/>
  <c r="BR162" i="3"/>
  <c r="BR231" i="3"/>
  <c r="BR269" i="3"/>
  <c r="BR236" i="3"/>
  <c r="BR178" i="3"/>
  <c r="BR59" i="3"/>
  <c r="BR105" i="3"/>
  <c r="BR73" i="3"/>
  <c r="BR74" i="3"/>
  <c r="BR96" i="3"/>
  <c r="BR127" i="3"/>
  <c r="BR230" i="3"/>
  <c r="BR176" i="3"/>
  <c r="BR153" i="3"/>
  <c r="BR146" i="3"/>
  <c r="BR199" i="3"/>
  <c r="BR81" i="3"/>
  <c r="BR189" i="3"/>
  <c r="BR51" i="3"/>
  <c r="BR45" i="3"/>
  <c r="BR80" i="3"/>
  <c r="BR184" i="3"/>
  <c r="BR180" i="3"/>
  <c r="BR235" i="3"/>
  <c r="BR202" i="3"/>
  <c r="BR212" i="3"/>
  <c r="BR177" i="3"/>
  <c r="BR173" i="3"/>
  <c r="BR13" i="3"/>
  <c r="BR214" i="3"/>
  <c r="BR197" i="3"/>
  <c r="BR63" i="3"/>
  <c r="BR240" i="3"/>
  <c r="BR31" i="3"/>
  <c r="BR142" i="3"/>
  <c r="BR77" i="3"/>
  <c r="BR115" i="3"/>
  <c r="BR272" i="3"/>
  <c r="BR125" i="3"/>
  <c r="BR154" i="3"/>
  <c r="BR41" i="3"/>
  <c r="BR95" i="3"/>
  <c r="BR160" i="3"/>
  <c r="BR126" i="3"/>
  <c r="BR245" i="3"/>
  <c r="BR34" i="3"/>
  <c r="BR65" i="3"/>
  <c r="BR132" i="3"/>
  <c r="BR200" i="3"/>
  <c r="BR102" i="3"/>
  <c r="BR110" i="3"/>
  <c r="BR181" i="3"/>
  <c r="BR274" i="3"/>
  <c r="BR85" i="3"/>
  <c r="BR168" i="3"/>
  <c r="BR29" i="3"/>
  <c r="BR94" i="3"/>
  <c r="BR265" i="3"/>
  <c r="BR188" i="3"/>
  <c r="BR194" i="3"/>
  <c r="BR113" i="3"/>
  <c r="BR201" i="3"/>
  <c r="BR175" i="3"/>
  <c r="BR246" i="3"/>
  <c r="BR253" i="3"/>
  <c r="BR84" i="3"/>
  <c r="BR143" i="3"/>
  <c r="BR82" i="3"/>
  <c r="BR232" i="3"/>
  <c r="BR124" i="3"/>
  <c r="BR75" i="3"/>
  <c r="BR259" i="3"/>
  <c r="BR222" i="3"/>
  <c r="BR147" i="3"/>
  <c r="BR139" i="3"/>
  <c r="BR247" i="3"/>
  <c r="BR88" i="3"/>
  <c r="BR42" i="3"/>
  <c r="BR52" i="3"/>
  <c r="BR151" i="3"/>
  <c r="BR66" i="3"/>
  <c r="BR249" i="3"/>
  <c r="BR273" i="3"/>
  <c r="BR187" i="3"/>
  <c r="BR172" i="3"/>
  <c r="BR116" i="3"/>
  <c r="BR256" i="3"/>
  <c r="BR60" i="3"/>
  <c r="BR227" i="3"/>
  <c r="BR47" i="3"/>
  <c r="BR150" i="3"/>
  <c r="BR7" i="3"/>
  <c r="BT7" i="3" s="1"/>
  <c r="I6" i="5"/>
  <c r="BR21" i="3"/>
  <c r="BR20" i="3"/>
  <c r="BR11" i="3"/>
  <c r="BR17" i="3"/>
  <c r="BR24" i="3"/>
  <c r="BR203" i="3"/>
  <c r="BR271" i="3"/>
  <c r="BR120" i="3"/>
  <c r="BR37" i="3"/>
  <c r="BR165" i="3"/>
  <c r="BR49" i="3"/>
  <c r="BR167" i="3"/>
  <c r="BR55" i="3"/>
  <c r="BR91" i="3"/>
  <c r="BR72" i="3"/>
  <c r="BR38" i="3"/>
  <c r="BR252" i="3"/>
  <c r="BR208" i="3"/>
  <c r="BR170" i="3"/>
  <c r="BR220" i="3"/>
  <c r="BR234" i="3"/>
  <c r="BR46" i="3"/>
  <c r="BR32" i="3"/>
  <c r="BR261" i="3"/>
  <c r="BR207" i="3"/>
  <c r="BR130" i="3"/>
  <c r="BR157" i="3"/>
  <c r="BR195" i="3"/>
  <c r="BR107" i="3"/>
  <c r="BR275" i="3"/>
  <c r="BR243" i="3"/>
  <c r="BR104" i="3"/>
  <c r="BR206" i="3"/>
  <c r="BR61" i="3"/>
  <c r="BR268" i="3"/>
  <c r="BR131" i="3"/>
  <c r="BR159" i="3"/>
  <c r="BR204" i="3"/>
  <c r="BR119" i="3"/>
  <c r="BR48" i="3"/>
  <c r="BR122" i="3"/>
  <c r="BR171" i="3"/>
  <c r="BR76" i="3"/>
  <c r="BR219" i="3"/>
  <c r="BR106" i="3"/>
  <c r="BR211" i="3"/>
  <c r="BR67" i="3"/>
  <c r="BR121" i="3"/>
  <c r="BR145" i="3"/>
  <c r="BR218" i="3"/>
  <c r="BR140" i="3"/>
  <c r="BR158" i="3"/>
  <c r="BR223" i="3"/>
  <c r="BR224" i="3"/>
  <c r="BR118" i="3"/>
  <c r="BR152" i="3"/>
  <c r="BR133" i="3"/>
  <c r="BR40" i="3"/>
  <c r="BR263" i="3"/>
  <c r="BR90" i="3"/>
  <c r="BR244" i="3"/>
  <c r="BR164" i="3"/>
  <c r="BR242" i="3"/>
  <c r="BR191" i="3"/>
  <c r="BR215" i="3"/>
  <c r="BR123" i="3"/>
  <c r="BR97" i="3"/>
  <c r="BR8" i="3"/>
  <c r="BR10" i="3"/>
  <c r="BR22" i="3"/>
  <c r="BR23" i="3"/>
  <c r="BR26" i="3"/>
  <c r="BR18" i="3"/>
  <c r="BR12" i="3"/>
  <c r="BR25" i="3"/>
  <c r="BR14" i="3"/>
  <c r="BR27" i="3"/>
  <c r="BR185" i="3"/>
  <c r="BR156" i="3"/>
  <c r="BR238" i="3"/>
  <c r="BR86" i="3"/>
  <c r="BR264" i="3"/>
  <c r="BR255" i="3"/>
  <c r="BR134" i="3"/>
  <c r="BR179" i="3"/>
  <c r="BR111" i="3"/>
  <c r="BR226" i="3"/>
  <c r="BR186" i="3"/>
  <c r="BR161" i="3"/>
  <c r="BR241" i="3"/>
  <c r="BR36" i="3"/>
  <c r="BR257" i="3"/>
  <c r="BR169" i="3"/>
  <c r="BR217" i="3"/>
  <c r="BR213" i="3"/>
  <c r="BR228" i="3"/>
  <c r="BR100" i="3"/>
  <c r="BR103" i="3"/>
  <c r="BR267" i="3"/>
  <c r="BR239" i="3"/>
  <c r="BR174" i="3"/>
  <c r="BR83" i="3"/>
  <c r="BR136" i="3"/>
  <c r="BR198" i="3"/>
  <c r="BR87" i="3"/>
  <c r="BR62" i="3"/>
  <c r="BR128" i="3"/>
  <c r="BR262" i="3"/>
  <c r="BR258" i="3"/>
  <c r="BR109" i="3"/>
  <c r="BR114" i="3"/>
  <c r="BR251" i="3"/>
  <c r="BR233" i="3"/>
  <c r="BR58" i="3"/>
  <c r="BR129" i="3"/>
  <c r="BR112" i="3"/>
  <c r="BR137" i="3"/>
  <c r="BR101" i="3"/>
  <c r="BR44" i="3"/>
  <c r="BR229" i="3"/>
  <c r="BR89" i="3"/>
  <c r="BR248" i="3"/>
  <c r="BR250" i="3"/>
  <c r="BR190" i="3"/>
  <c r="BR92" i="3"/>
  <c r="BR117" i="3"/>
  <c r="BR108" i="3"/>
  <c r="BR35" i="3"/>
  <c r="BR155" i="3"/>
  <c r="BR98" i="3"/>
  <c r="BR30" i="3"/>
  <c r="BR193" i="3"/>
  <c r="BR270" i="3"/>
  <c r="BR78" i="3"/>
  <c r="BR192" i="3"/>
  <c r="BR216" i="3"/>
  <c r="BR99" i="3"/>
  <c r="BR221" i="3"/>
  <c r="N180" i="8"/>
  <c r="P180" i="8" s="1"/>
  <c r="M180" i="8"/>
  <c r="Q180" i="8"/>
  <c r="O180" i="8"/>
  <c r="N78" i="8"/>
  <c r="P78" i="8" s="1"/>
  <c r="O78" i="8"/>
  <c r="M78" i="8"/>
  <c r="Q78" i="8"/>
  <c r="F194" i="8"/>
  <c r="W194" i="8"/>
  <c r="D194" i="8"/>
  <c r="E194" i="8"/>
  <c r="G194" i="8" s="1"/>
  <c r="H194" i="8"/>
  <c r="O114" i="8"/>
  <c r="Q114" i="8"/>
  <c r="M114" i="8"/>
  <c r="N114" i="8"/>
  <c r="P114" i="8" s="1"/>
  <c r="Q121" i="8"/>
  <c r="M121" i="8"/>
  <c r="O121" i="8"/>
  <c r="N121" i="8"/>
  <c r="P121" i="8" s="1"/>
  <c r="Q146" i="8"/>
  <c r="M146" i="8"/>
  <c r="O146" i="8"/>
  <c r="N146" i="8"/>
  <c r="P146" i="8" s="1"/>
  <c r="F186" i="8"/>
  <c r="E186" i="8"/>
  <c r="G186" i="8" s="1"/>
  <c r="W186" i="8"/>
  <c r="D186" i="8"/>
  <c r="H186" i="8"/>
  <c r="D173" i="8"/>
  <c r="E173" i="8"/>
  <c r="G173" i="8" s="1"/>
  <c r="F173" i="8"/>
  <c r="W173" i="8"/>
  <c r="H173" i="8"/>
  <c r="O103" i="8"/>
  <c r="N103" i="8"/>
  <c r="P103" i="8" s="1"/>
  <c r="M103" i="8"/>
  <c r="Q103" i="8"/>
  <c r="H48" i="8"/>
  <c r="F48" i="8"/>
  <c r="E48" i="8"/>
  <c r="G48" i="8" s="1"/>
  <c r="W48" i="8"/>
  <c r="D48" i="8"/>
  <c r="H52" i="8"/>
  <c r="F52" i="8"/>
  <c r="D52" i="8"/>
  <c r="E52" i="8"/>
  <c r="G52" i="8" s="1"/>
  <c r="W52" i="8"/>
  <c r="E88" i="8"/>
  <c r="G88" i="8" s="1"/>
  <c r="W88" i="8"/>
  <c r="F88" i="8"/>
  <c r="D88" i="8"/>
  <c r="H88" i="8"/>
  <c r="D165" i="8"/>
  <c r="W165" i="8"/>
  <c r="H165" i="8"/>
  <c r="E165" i="8"/>
  <c r="G165" i="8" s="1"/>
  <c r="F165" i="8"/>
  <c r="O83" i="8"/>
  <c r="M83" i="8"/>
  <c r="Q83" i="8"/>
  <c r="N83" i="8"/>
  <c r="P83" i="8" s="1"/>
  <c r="N60" i="8"/>
  <c r="P60" i="8" s="1"/>
  <c r="Q60" i="8"/>
  <c r="O60" i="8"/>
  <c r="M60" i="8"/>
  <c r="W34" i="8"/>
  <c r="E34" i="8"/>
  <c r="G34" i="8" s="1"/>
  <c r="D34" i="8"/>
  <c r="H34" i="8"/>
  <c r="F34" i="8"/>
  <c r="E142" i="8"/>
  <c r="G142" i="8" s="1"/>
  <c r="W142" i="8"/>
  <c r="D142" i="8"/>
  <c r="F142" i="8"/>
  <c r="H142" i="8"/>
  <c r="W67" i="8"/>
  <c r="F67" i="8"/>
  <c r="H67" i="8"/>
  <c r="D67" i="8"/>
  <c r="E67" i="8"/>
  <c r="G67" i="8" s="1"/>
  <c r="Q190" i="8"/>
  <c r="M190" i="8"/>
  <c r="O190" i="8"/>
  <c r="N190" i="8"/>
  <c r="P190" i="8" s="1"/>
  <c r="F78" i="8"/>
  <c r="D78" i="8"/>
  <c r="E78" i="8"/>
  <c r="G78" i="8" s="1"/>
  <c r="H78" i="8"/>
  <c r="W78" i="8"/>
  <c r="D9" i="8"/>
  <c r="W9" i="8"/>
  <c r="E9" i="8"/>
  <c r="G9" i="8" s="1"/>
  <c r="H9" i="8"/>
  <c r="F9" i="8"/>
  <c r="F118" i="8"/>
  <c r="W118" i="8"/>
  <c r="D118" i="8"/>
  <c r="H118" i="8"/>
  <c r="E118" i="8"/>
  <c r="G118" i="8" s="1"/>
  <c r="F108" i="8"/>
  <c r="W108" i="8"/>
  <c r="H108" i="8"/>
  <c r="D108" i="8"/>
  <c r="E108" i="8"/>
  <c r="G108" i="8" s="1"/>
  <c r="W79" i="8"/>
  <c r="E79" i="8"/>
  <c r="G79" i="8" s="1"/>
  <c r="D79" i="8"/>
  <c r="F79" i="8"/>
  <c r="H79" i="8"/>
  <c r="M69" i="8"/>
  <c r="O69" i="8"/>
  <c r="Q69" i="8"/>
  <c r="N69" i="8"/>
  <c r="P69" i="8" s="1"/>
  <c r="E94" i="8"/>
  <c r="G94" i="8" s="1"/>
  <c r="D94" i="8"/>
  <c r="H94" i="8"/>
  <c r="W94" i="8"/>
  <c r="F94" i="8"/>
  <c r="W184" i="8"/>
  <c r="D184" i="8"/>
  <c r="E184" i="8"/>
  <c r="G184" i="8" s="1"/>
  <c r="F184" i="8"/>
  <c r="H184" i="8"/>
  <c r="H50" i="8"/>
  <c r="W50" i="8"/>
  <c r="E50" i="8"/>
  <c r="G50" i="8" s="1"/>
  <c r="F50" i="8"/>
  <c r="D50" i="8"/>
  <c r="H177" i="8"/>
  <c r="D177" i="8"/>
  <c r="E177" i="8"/>
  <c r="G177" i="8" s="1"/>
  <c r="F177" i="8"/>
  <c r="W177" i="8"/>
  <c r="O79" i="8"/>
  <c r="M79" i="8"/>
  <c r="N79" i="8"/>
  <c r="P79" i="8" s="1"/>
  <c r="Q79" i="8"/>
  <c r="E75" i="8"/>
  <c r="G75" i="8" s="1"/>
  <c r="F75" i="8"/>
  <c r="D75" i="8"/>
  <c r="H75" i="8"/>
  <c r="W75" i="8"/>
  <c r="N80" i="8"/>
  <c r="P80" i="8" s="1"/>
  <c r="M80" i="8"/>
  <c r="O80" i="8"/>
  <c r="Q80" i="8"/>
  <c r="M47" i="8"/>
  <c r="R47" i="8" s="1"/>
  <c r="Q47" i="8"/>
  <c r="O47" i="8"/>
  <c r="N47" i="8"/>
  <c r="P47" i="8" s="1"/>
  <c r="O106" i="8"/>
  <c r="Q106" i="8"/>
  <c r="M106" i="8"/>
  <c r="N106" i="8"/>
  <c r="P106" i="8" s="1"/>
  <c r="E96" i="8"/>
  <c r="G96" i="8" s="1"/>
  <c r="W96" i="8"/>
  <c r="H96" i="8"/>
  <c r="D96" i="8"/>
  <c r="F96" i="8"/>
  <c r="O170" i="8"/>
  <c r="N170" i="8"/>
  <c r="P170" i="8" s="1"/>
  <c r="Q170" i="8"/>
  <c r="M170" i="8"/>
  <c r="O86" i="8"/>
  <c r="N86" i="8"/>
  <c r="P86" i="8" s="1"/>
  <c r="M86" i="8"/>
  <c r="Q86" i="8"/>
  <c r="Q163" i="8"/>
  <c r="M163" i="8"/>
  <c r="N163" i="8"/>
  <c r="P163" i="8" s="1"/>
  <c r="O163" i="8"/>
  <c r="D101" i="8"/>
  <c r="F101" i="8"/>
  <c r="H101" i="8"/>
  <c r="W101" i="8"/>
  <c r="E101" i="8"/>
  <c r="G101" i="8" s="1"/>
  <c r="BN150" i="3"/>
  <c r="BN128" i="3"/>
  <c r="BN258" i="3"/>
  <c r="BN175" i="3"/>
  <c r="BN211" i="3"/>
  <c r="BN273" i="3"/>
  <c r="BN237" i="3"/>
  <c r="BN158" i="3"/>
  <c r="BN97" i="3"/>
  <c r="BN257" i="3"/>
  <c r="BN166" i="3"/>
  <c r="BN186" i="3"/>
  <c r="BN170" i="3"/>
  <c r="BN122" i="3"/>
  <c r="BN34" i="3"/>
  <c r="BN270" i="3"/>
  <c r="BN42" i="3"/>
  <c r="BN80" i="3"/>
  <c r="BN43" i="3"/>
  <c r="BN268" i="3"/>
  <c r="BN27" i="3"/>
  <c r="BN108" i="3"/>
  <c r="BN60" i="3"/>
  <c r="BN252" i="3"/>
  <c r="BN73" i="3"/>
  <c r="BN130" i="3"/>
  <c r="BN33" i="3"/>
  <c r="BN88" i="3"/>
  <c r="BN91" i="3"/>
  <c r="BN45" i="3"/>
  <c r="BN264" i="3"/>
  <c r="BN153" i="3"/>
  <c r="BN253" i="3"/>
  <c r="BN174" i="3"/>
  <c r="BN39" i="3"/>
  <c r="BN246" i="3"/>
  <c r="BN250" i="3"/>
  <c r="BN82" i="3"/>
  <c r="BN53" i="3"/>
  <c r="BN272" i="3"/>
  <c r="BN261" i="3"/>
  <c r="BN144" i="3"/>
  <c r="BN163" i="3"/>
  <c r="BN259" i="3"/>
  <c r="BN274" i="3"/>
  <c r="BN66" i="3"/>
  <c r="BN152" i="3"/>
  <c r="BN164" i="3"/>
  <c r="BN214" i="3"/>
  <c r="BN173" i="3"/>
  <c r="BN111" i="3"/>
  <c r="BN102" i="3"/>
  <c r="BN193" i="3"/>
  <c r="BN92" i="3"/>
  <c r="BN95" i="3"/>
  <c r="BN183" i="3"/>
  <c r="BN74" i="3"/>
  <c r="BN120" i="3"/>
  <c r="BN59" i="3"/>
  <c r="BN254" i="3"/>
  <c r="BN162" i="3"/>
  <c r="BN137" i="3"/>
  <c r="E176" i="8"/>
  <c r="G176" i="8" s="1"/>
  <c r="D176" i="8"/>
  <c r="W176" i="8"/>
  <c r="H176" i="8"/>
  <c r="F176" i="8"/>
  <c r="W191" i="8"/>
  <c r="H191" i="8"/>
  <c r="F191" i="8"/>
  <c r="D191" i="8"/>
  <c r="E191" i="8"/>
  <c r="G191" i="8" s="1"/>
  <c r="H10" i="8"/>
  <c r="E10" i="8"/>
  <c r="G10" i="8" s="1"/>
  <c r="W10" i="8"/>
  <c r="D10" i="8"/>
  <c r="F10" i="8"/>
  <c r="W123" i="8"/>
  <c r="E123" i="8"/>
  <c r="G123" i="8" s="1"/>
  <c r="H123" i="8"/>
  <c r="D123" i="8"/>
  <c r="F123" i="8"/>
  <c r="Q151" i="8"/>
  <c r="M151" i="8"/>
  <c r="O151" i="8"/>
  <c r="N151" i="8"/>
  <c r="P151" i="8" s="1"/>
  <c r="F180" i="8"/>
  <c r="D180" i="8"/>
  <c r="W180" i="8"/>
  <c r="H180" i="8"/>
  <c r="E180" i="8"/>
  <c r="G180" i="8" s="1"/>
  <c r="O137" i="8"/>
  <c r="N137" i="8"/>
  <c r="P137" i="8" s="1"/>
  <c r="M137" i="8"/>
  <c r="Q137" i="8"/>
  <c r="W18" i="8"/>
  <c r="E18" i="8"/>
  <c r="G18" i="8" s="1"/>
  <c r="D18" i="8"/>
  <c r="F18" i="8"/>
  <c r="H18" i="8"/>
  <c r="O107" i="8"/>
  <c r="N107" i="8"/>
  <c r="P107" i="8" s="1"/>
  <c r="M107" i="8"/>
  <c r="Q107" i="8"/>
  <c r="W57" i="8"/>
  <c r="E57" i="8"/>
  <c r="G57" i="8" s="1"/>
  <c r="H57" i="8"/>
  <c r="F57" i="8"/>
  <c r="D57" i="8"/>
  <c r="Q193" i="8"/>
  <c r="M193" i="8"/>
  <c r="N193" i="8"/>
  <c r="P193" i="8" s="1"/>
  <c r="O193" i="8"/>
  <c r="M28" i="8"/>
  <c r="N28" i="8"/>
  <c r="P28" i="8" s="1"/>
  <c r="Q28" i="8"/>
  <c r="O28" i="8"/>
  <c r="A40" i="5"/>
  <c r="A40" i="8"/>
  <c r="D135" i="8"/>
  <c r="F135" i="8"/>
  <c r="W135" i="8"/>
  <c r="E135" i="8"/>
  <c r="G135" i="8" s="1"/>
  <c r="H135" i="8"/>
  <c r="O196" i="8"/>
  <c r="M196" i="8"/>
  <c r="Q196" i="8"/>
  <c r="N196" i="8"/>
  <c r="P196" i="8" s="1"/>
  <c r="N111" i="8"/>
  <c r="P111" i="8" s="1"/>
  <c r="M111" i="8"/>
  <c r="O111" i="8"/>
  <c r="Q111" i="8"/>
  <c r="E175" i="8"/>
  <c r="G175" i="8" s="1"/>
  <c r="F175" i="8"/>
  <c r="H175" i="8"/>
  <c r="D175" i="8"/>
  <c r="W175" i="8"/>
  <c r="Q26" i="8"/>
  <c r="M26" i="8"/>
  <c r="N26" i="8"/>
  <c r="P26" i="8" s="1"/>
  <c r="O26" i="8"/>
  <c r="H16" i="8"/>
  <c r="W16" i="8"/>
  <c r="E16" i="8"/>
  <c r="G16" i="8" s="1"/>
  <c r="F16" i="8"/>
  <c r="D16" i="8"/>
  <c r="D84" i="8"/>
  <c r="E84" i="8"/>
  <c r="G84" i="8" s="1"/>
  <c r="H84" i="8"/>
  <c r="F84" i="8"/>
  <c r="W84" i="8"/>
  <c r="E158" i="8"/>
  <c r="G158" i="8" s="1"/>
  <c r="H158" i="8"/>
  <c r="F158" i="8"/>
  <c r="D158" i="8"/>
  <c r="W158" i="8"/>
  <c r="M55" i="8"/>
  <c r="R55" i="8" s="1"/>
  <c r="O55" i="8"/>
  <c r="N55" i="8"/>
  <c r="P55" i="8" s="1"/>
  <c r="Q55" i="8"/>
  <c r="F143" i="8"/>
  <c r="H143" i="8"/>
  <c r="D143" i="8"/>
  <c r="W143" i="8"/>
  <c r="E143" i="8"/>
  <c r="G143" i="8" s="1"/>
  <c r="N105" i="8"/>
  <c r="P105" i="8" s="1"/>
  <c r="M105" i="8"/>
  <c r="Q105" i="8"/>
  <c r="O105" i="8"/>
  <c r="F145" i="8"/>
  <c r="D145" i="8"/>
  <c r="H145" i="8"/>
  <c r="E145" i="8"/>
  <c r="G145" i="8" s="1"/>
  <c r="W145" i="8"/>
  <c r="Q165" i="8"/>
  <c r="O165" i="8"/>
  <c r="M165" i="8"/>
  <c r="N165" i="8"/>
  <c r="P165" i="8" s="1"/>
  <c r="D150" i="8"/>
  <c r="E150" i="8"/>
  <c r="G150" i="8" s="1"/>
  <c r="H150" i="8"/>
  <c r="W150" i="8"/>
  <c r="F150" i="8"/>
  <c r="W26" i="8"/>
  <c r="H26" i="8"/>
  <c r="D26" i="8"/>
  <c r="E26" i="8"/>
  <c r="G26" i="8" s="1"/>
  <c r="F26" i="8"/>
  <c r="H112" i="8"/>
  <c r="F112" i="8"/>
  <c r="D112" i="8"/>
  <c r="E112" i="8"/>
  <c r="G112" i="8" s="1"/>
  <c r="W112" i="8"/>
  <c r="H183" i="8"/>
  <c r="W183" i="8"/>
  <c r="D183" i="8"/>
  <c r="F183" i="8"/>
  <c r="E183" i="8"/>
  <c r="G183" i="8" s="1"/>
  <c r="Q171" i="8"/>
  <c r="M171" i="8"/>
  <c r="O171" i="8"/>
  <c r="N171" i="8"/>
  <c r="P171" i="8" s="1"/>
  <c r="O48" i="8"/>
  <c r="N48" i="8"/>
  <c r="P48" i="8" s="1"/>
  <c r="Q48" i="8"/>
  <c r="M48" i="8"/>
  <c r="R48" i="8" s="1"/>
  <c r="E7" i="8"/>
  <c r="G7" i="8" s="1"/>
  <c r="W7" i="8"/>
  <c r="F7" i="8"/>
  <c r="D7" i="8"/>
  <c r="H7" i="8"/>
  <c r="N45" i="8"/>
  <c r="P45" i="8" s="1"/>
  <c r="O45" i="8"/>
  <c r="M45" i="8"/>
  <c r="Q45" i="8"/>
  <c r="H85" i="8"/>
  <c r="D85" i="8"/>
  <c r="F85" i="8"/>
  <c r="W85" i="8"/>
  <c r="E85" i="8"/>
  <c r="G85" i="8" s="1"/>
  <c r="H6" i="8"/>
  <c r="F6" i="8"/>
  <c r="E6" i="8"/>
  <c r="W6" i="8"/>
  <c r="W182" i="8"/>
  <c r="F182" i="8"/>
  <c r="D182" i="8"/>
  <c r="E182" i="8"/>
  <c r="G182" i="8" s="1"/>
  <c r="H182" i="8"/>
  <c r="O97" i="8"/>
  <c r="M97" i="8"/>
  <c r="Q97" i="8"/>
  <c r="N97" i="8"/>
  <c r="P97" i="8" s="1"/>
  <c r="F72" i="8"/>
  <c r="H72" i="8"/>
  <c r="E72" i="8"/>
  <c r="G72" i="8" s="1"/>
  <c r="D72" i="8"/>
  <c r="W72" i="8"/>
  <c r="N109" i="8"/>
  <c r="P109" i="8" s="1"/>
  <c r="O109" i="8"/>
  <c r="Q109" i="8"/>
  <c r="M109" i="8"/>
  <c r="M8" i="8"/>
  <c r="Q8" i="8"/>
  <c r="N8" i="8"/>
  <c r="P8" i="8" s="1"/>
  <c r="O8" i="8"/>
  <c r="N178" i="8"/>
  <c r="P178" i="8" s="1"/>
  <c r="Q178" i="8"/>
  <c r="M178" i="8"/>
  <c r="O178" i="8"/>
  <c r="D146" i="8"/>
  <c r="F146" i="8"/>
  <c r="H146" i="8"/>
  <c r="E146" i="8"/>
  <c r="G146" i="8" s="1"/>
  <c r="W146" i="8"/>
  <c r="E128" i="8"/>
  <c r="G128" i="8" s="1"/>
  <c r="H128" i="8"/>
  <c r="F128" i="8"/>
  <c r="W128" i="8"/>
  <c r="D128" i="8"/>
  <c r="M135" i="8"/>
  <c r="O135" i="8"/>
  <c r="Q135" i="8"/>
  <c r="N135" i="8"/>
  <c r="P135" i="8" s="1"/>
  <c r="M127" i="8"/>
  <c r="Q127" i="8"/>
  <c r="N127" i="8"/>
  <c r="P127" i="8" s="1"/>
  <c r="O127" i="8"/>
  <c r="O110" i="8"/>
  <c r="M110" i="8"/>
  <c r="N110" i="8"/>
  <c r="P110" i="8" s="1"/>
  <c r="Q110" i="8"/>
  <c r="N64" i="8"/>
  <c r="P64" i="8" s="1"/>
  <c r="O64" i="8"/>
  <c r="M64" i="8"/>
  <c r="Q64" i="8"/>
  <c r="E49" i="8"/>
  <c r="G49" i="8" s="1"/>
  <c r="F49" i="8"/>
  <c r="D49" i="8"/>
  <c r="H49" i="8"/>
  <c r="W49" i="8"/>
  <c r="N52" i="8"/>
  <c r="P52" i="8" s="1"/>
  <c r="O52" i="8"/>
  <c r="M52" i="8"/>
  <c r="R52" i="8" s="1"/>
  <c r="Q52" i="8"/>
  <c r="H144" i="8"/>
  <c r="D144" i="8"/>
  <c r="W144" i="8"/>
  <c r="E144" i="8"/>
  <c r="G144" i="8" s="1"/>
  <c r="F144" i="8"/>
  <c r="N29" i="8"/>
  <c r="P29" i="8" s="1"/>
  <c r="M29" i="8"/>
  <c r="Q29" i="8"/>
  <c r="O29" i="8"/>
  <c r="N59" i="8"/>
  <c r="P59" i="8" s="1"/>
  <c r="Q59" i="8"/>
  <c r="M59" i="8"/>
  <c r="R59" i="8" s="1"/>
  <c r="O59" i="8"/>
  <c r="F92" i="8"/>
  <c r="E92" i="8"/>
  <c r="G92" i="8" s="1"/>
  <c r="H92" i="8"/>
  <c r="W92" i="8"/>
  <c r="D92" i="8"/>
  <c r="M34" i="8"/>
  <c r="O34" i="8"/>
  <c r="N34" i="8"/>
  <c r="P34" i="8" s="1"/>
  <c r="Q34" i="8"/>
  <c r="W73" i="8"/>
  <c r="F73" i="8"/>
  <c r="D73" i="8"/>
  <c r="E73" i="8"/>
  <c r="G73" i="8" s="1"/>
  <c r="H73" i="8"/>
  <c r="N6" i="8"/>
  <c r="M6" i="8"/>
  <c r="O6" i="8"/>
  <c r="Q6" i="8"/>
  <c r="N144" i="8"/>
  <c r="P144" i="8" s="1"/>
  <c r="O144" i="8"/>
  <c r="Q144" i="8"/>
  <c r="M144" i="8"/>
  <c r="Q153" i="8"/>
  <c r="M153" i="8"/>
  <c r="O153" i="8"/>
  <c r="N153" i="8"/>
  <c r="P153" i="8" s="1"/>
  <c r="F129" i="8"/>
  <c r="W129" i="8"/>
  <c r="D129" i="8"/>
  <c r="E129" i="8"/>
  <c r="G129" i="8" s="1"/>
  <c r="H129" i="8"/>
  <c r="N166" i="8"/>
  <c r="P166" i="8" s="1"/>
  <c r="O166" i="8"/>
  <c r="Q166" i="8"/>
  <c r="M166" i="8"/>
  <c r="Q63" i="8"/>
  <c r="M63" i="8"/>
  <c r="O63" i="8"/>
  <c r="N63" i="8"/>
  <c r="P63" i="8" s="1"/>
  <c r="E126" i="8"/>
  <c r="G126" i="8" s="1"/>
  <c r="F126" i="8"/>
  <c r="D126" i="8"/>
  <c r="H126" i="8"/>
  <c r="W126" i="8"/>
  <c r="E140" i="8"/>
  <c r="G140" i="8" s="1"/>
  <c r="F140" i="8"/>
  <c r="H140" i="8"/>
  <c r="D140" i="8"/>
  <c r="W140" i="8"/>
  <c r="E110" i="8"/>
  <c r="G110" i="8" s="1"/>
  <c r="F110" i="8"/>
  <c r="W110" i="8"/>
  <c r="D110" i="8"/>
  <c r="H110" i="8"/>
  <c r="F111" i="8"/>
  <c r="W111" i="8"/>
  <c r="D111" i="8"/>
  <c r="H111" i="8"/>
  <c r="E111" i="8"/>
  <c r="G111" i="8" s="1"/>
  <c r="M123" i="8"/>
  <c r="N123" i="8"/>
  <c r="P123" i="8" s="1"/>
  <c r="Q123" i="8"/>
  <c r="O123" i="8"/>
  <c r="W35" i="8"/>
  <c r="H35" i="8"/>
  <c r="F35" i="8"/>
  <c r="E35" i="8"/>
  <c r="G35" i="8" s="1"/>
  <c r="D35" i="8"/>
  <c r="H53" i="8"/>
  <c r="F53" i="8"/>
  <c r="E53" i="8"/>
  <c r="G53" i="8" s="1"/>
  <c r="W53" i="8"/>
  <c r="D53" i="8"/>
  <c r="F47" i="8"/>
  <c r="H47" i="8"/>
  <c r="E47" i="8"/>
  <c r="G47" i="8" s="1"/>
  <c r="D47" i="8"/>
  <c r="W47" i="8"/>
  <c r="O184" i="8"/>
  <c r="M184" i="8"/>
  <c r="N184" i="8"/>
  <c r="P184" i="8" s="1"/>
  <c r="Q184" i="8"/>
  <c r="W37" i="8"/>
  <c r="H37" i="8"/>
  <c r="F37" i="8"/>
  <c r="D37" i="8"/>
  <c r="E37" i="8"/>
  <c r="G37" i="8" s="1"/>
  <c r="N96" i="8"/>
  <c r="P96" i="8" s="1"/>
  <c r="O96" i="8"/>
  <c r="M96" i="8"/>
  <c r="Q96" i="8"/>
  <c r="N140" i="8"/>
  <c r="P140" i="8" s="1"/>
  <c r="Q140" i="8"/>
  <c r="O140" i="8"/>
  <c r="M140" i="8"/>
  <c r="F193" i="8"/>
  <c r="D193" i="8"/>
  <c r="E193" i="8"/>
  <c r="G193" i="8" s="1"/>
  <c r="W193" i="8"/>
  <c r="H193" i="8"/>
  <c r="W95" i="8"/>
  <c r="H95" i="8"/>
  <c r="D95" i="8"/>
  <c r="E95" i="8"/>
  <c r="G95" i="8" s="1"/>
  <c r="F95" i="8"/>
  <c r="W160" i="8"/>
  <c r="D160" i="8"/>
  <c r="H160" i="8"/>
  <c r="E160" i="8"/>
  <c r="G160" i="8" s="1"/>
  <c r="F160" i="8"/>
  <c r="H39" i="8"/>
  <c r="D39" i="8"/>
  <c r="F39" i="8"/>
  <c r="W39" i="8"/>
  <c r="E39" i="8"/>
  <c r="G39" i="8" s="1"/>
  <c r="D89" i="8"/>
  <c r="F89" i="8"/>
  <c r="W89" i="8"/>
  <c r="H89" i="8"/>
  <c r="E89" i="8"/>
  <c r="G89" i="8" s="1"/>
  <c r="E117" i="8"/>
  <c r="G117" i="8" s="1"/>
  <c r="W117" i="8"/>
  <c r="H117" i="8"/>
  <c r="F117" i="8"/>
  <c r="D117" i="8"/>
  <c r="O53" i="8"/>
  <c r="M53" i="8"/>
  <c r="R53" i="8" s="1"/>
  <c r="Q53" i="8"/>
  <c r="N53" i="8"/>
  <c r="P53" i="8" s="1"/>
  <c r="H122" i="8"/>
  <c r="W122" i="8"/>
  <c r="E122" i="8"/>
  <c r="G122" i="8" s="1"/>
  <c r="F122" i="8"/>
  <c r="D122" i="8"/>
  <c r="W58" i="8"/>
  <c r="H58" i="8"/>
  <c r="E58" i="8"/>
  <c r="G58" i="8" s="1"/>
  <c r="D58" i="8"/>
  <c r="F58" i="8"/>
  <c r="D196" i="8"/>
  <c r="H196" i="8"/>
  <c r="W196" i="8"/>
  <c r="E196" i="8"/>
  <c r="G196" i="8" s="1"/>
  <c r="F196" i="8"/>
  <c r="N168" i="8"/>
  <c r="P168" i="8" s="1"/>
  <c r="M168" i="8"/>
  <c r="Q168" i="8"/>
  <c r="O168" i="8"/>
  <c r="O133" i="8"/>
  <c r="M133" i="8"/>
  <c r="Q133" i="8"/>
  <c r="N133" i="8"/>
  <c r="P133" i="8" s="1"/>
  <c r="H81" i="8"/>
  <c r="W81" i="8"/>
  <c r="E81" i="8"/>
  <c r="G81" i="8" s="1"/>
  <c r="D81" i="8"/>
  <c r="F81" i="8"/>
  <c r="N195" i="8"/>
  <c r="P195" i="8" s="1"/>
  <c r="M195" i="8"/>
  <c r="Q195" i="8"/>
  <c r="O195" i="8"/>
  <c r="W29" i="8"/>
  <c r="E29" i="8"/>
  <c r="G29" i="8" s="1"/>
  <c r="H29" i="8"/>
  <c r="D29" i="8"/>
  <c r="F29" i="8"/>
  <c r="N101" i="8"/>
  <c r="P101" i="8" s="1"/>
  <c r="M101" i="8"/>
  <c r="Q101" i="8"/>
  <c r="O101" i="8"/>
  <c r="O161" i="8"/>
  <c r="Q161" i="8"/>
  <c r="M161" i="8"/>
  <c r="N161" i="8"/>
  <c r="P161" i="8" s="1"/>
  <c r="F169" i="8"/>
  <c r="D169" i="8"/>
  <c r="W169" i="8"/>
  <c r="E169" i="8"/>
  <c r="G169" i="8" s="1"/>
  <c r="H169" i="8"/>
  <c r="D100" i="8"/>
  <c r="F100" i="8"/>
  <c r="W100" i="8"/>
  <c r="H100" i="8"/>
  <c r="E100" i="8"/>
  <c r="G100" i="8" s="1"/>
  <c r="BN189" i="3"/>
  <c r="BN244" i="3"/>
  <c r="BN98" i="3"/>
  <c r="BN227" i="3"/>
  <c r="BN41" i="3"/>
  <c r="BN238" i="3"/>
  <c r="BN81" i="3"/>
  <c r="BN123" i="3"/>
  <c r="BN94" i="3"/>
  <c r="BN101" i="3"/>
  <c r="BN232" i="3"/>
  <c r="BN255" i="3"/>
  <c r="BN83" i="3"/>
  <c r="BN265" i="3"/>
  <c r="BN160" i="3"/>
  <c r="BN230" i="3"/>
  <c r="BN200" i="3"/>
  <c r="BN167" i="3"/>
  <c r="BN198" i="3"/>
  <c r="BN269" i="3"/>
  <c r="BN188" i="3"/>
  <c r="BN55" i="3"/>
  <c r="BN79" i="3"/>
  <c r="BN52" i="3"/>
  <c r="BN129" i="3"/>
  <c r="BN78" i="3"/>
  <c r="BN209" i="3"/>
  <c r="BN65" i="3"/>
  <c r="BN271" i="3"/>
  <c r="BN132" i="3"/>
  <c r="BN159" i="3"/>
  <c r="BN103" i="3"/>
  <c r="BN125" i="3"/>
  <c r="BN141" i="3"/>
  <c r="BN157" i="3"/>
  <c r="BN147" i="3"/>
  <c r="BN142" i="3"/>
  <c r="BN90" i="3"/>
  <c r="BN50" i="3"/>
  <c r="BN131" i="3"/>
  <c r="BN225" i="3"/>
  <c r="BN89" i="3"/>
  <c r="BN242" i="3"/>
  <c r="BN216" i="3"/>
  <c r="BN115" i="3"/>
  <c r="BN206" i="3"/>
  <c r="BN222" i="3"/>
  <c r="BN146" i="3"/>
  <c r="BN204" i="3"/>
  <c r="BN68" i="3"/>
  <c r="BN165" i="3"/>
  <c r="BN64" i="3"/>
  <c r="BN210" i="3"/>
  <c r="BN143" i="3"/>
  <c r="BN215" i="3"/>
  <c r="BN195" i="3"/>
  <c r="BN187" i="3"/>
  <c r="BN135" i="3"/>
  <c r="BN36" i="3"/>
  <c r="D69" i="8"/>
  <c r="H69" i="8"/>
  <c r="F69" i="8"/>
  <c r="E69" i="8"/>
  <c r="G69" i="8" s="1"/>
  <c r="W69" i="8"/>
  <c r="O197" i="8"/>
  <c r="M197" i="8"/>
  <c r="N197" i="8"/>
  <c r="P197" i="8" s="1"/>
  <c r="Q197" i="8"/>
  <c r="D71" i="8"/>
  <c r="F71" i="8"/>
  <c r="W71" i="8"/>
  <c r="H71" i="8"/>
  <c r="E71" i="8"/>
  <c r="G71" i="8" s="1"/>
  <c r="M176" i="8"/>
  <c r="O176" i="8"/>
  <c r="Q176" i="8"/>
  <c r="N176" i="8"/>
  <c r="P176" i="8" s="1"/>
  <c r="D132" i="8"/>
  <c r="E132" i="8"/>
  <c r="G132" i="8" s="1"/>
  <c r="H132" i="8"/>
  <c r="F132" i="8"/>
  <c r="W132" i="8"/>
  <c r="D68" i="8"/>
  <c r="H68" i="8"/>
  <c r="F68" i="8"/>
  <c r="W68" i="8"/>
  <c r="E68" i="8"/>
  <c r="G68" i="8" s="1"/>
  <c r="N182" i="8"/>
  <c r="P182" i="8" s="1"/>
  <c r="Q182" i="8"/>
  <c r="O182" i="8"/>
  <c r="M182" i="8"/>
  <c r="D174" i="8"/>
  <c r="W174" i="8"/>
  <c r="E174" i="8"/>
  <c r="G174" i="8" s="1"/>
  <c r="H174" i="8"/>
  <c r="F174" i="8"/>
  <c r="E62" i="8"/>
  <c r="G62" i="8" s="1"/>
  <c r="D62" i="8"/>
  <c r="F62" i="8"/>
  <c r="W62" i="8"/>
  <c r="H62" i="8"/>
  <c r="E43" i="8"/>
  <c r="G43" i="8" s="1"/>
  <c r="W43" i="8"/>
  <c r="H43" i="8"/>
  <c r="D43" i="8"/>
  <c r="F43" i="8"/>
  <c r="F45" i="8"/>
  <c r="D45" i="8"/>
  <c r="H45" i="8"/>
  <c r="W45" i="8"/>
  <c r="E45" i="8"/>
  <c r="G45" i="8" s="1"/>
  <c r="A38" i="5"/>
  <c r="A38" i="8"/>
  <c r="H115" i="8"/>
  <c r="F115" i="8"/>
  <c r="E115" i="8"/>
  <c r="G115" i="8" s="1"/>
  <c r="D115" i="8"/>
  <c r="W115" i="8"/>
  <c r="N99" i="8"/>
  <c r="P99" i="8" s="1"/>
  <c r="O99" i="8"/>
  <c r="M99" i="8"/>
  <c r="Q99" i="8"/>
  <c r="D8" i="8"/>
  <c r="H8" i="8"/>
  <c r="W8" i="8"/>
  <c r="E8" i="8"/>
  <c r="G8" i="8" s="1"/>
  <c r="F8" i="8"/>
  <c r="W28" i="8"/>
  <c r="E28" i="8"/>
  <c r="G28" i="8" s="1"/>
  <c r="F28" i="8"/>
  <c r="D28" i="8"/>
  <c r="H28" i="8"/>
  <c r="O10" i="8"/>
  <c r="N10" i="8"/>
  <c r="P10" i="8" s="1"/>
  <c r="Q10" i="8"/>
  <c r="M10" i="8"/>
  <c r="W106" i="8"/>
  <c r="F106" i="8"/>
  <c r="E106" i="8"/>
  <c r="G106" i="8" s="1"/>
  <c r="D106" i="8"/>
  <c r="H106" i="8"/>
  <c r="Q32" i="8"/>
  <c r="O32" i="8"/>
  <c r="N32" i="8"/>
  <c r="P32" i="8" s="1"/>
  <c r="M32" i="8"/>
  <c r="H163" i="8"/>
  <c r="D163" i="8"/>
  <c r="F163" i="8"/>
  <c r="W163" i="8"/>
  <c r="E163" i="8"/>
  <c r="G163" i="8" s="1"/>
  <c r="E154" i="8"/>
  <c r="G154" i="8" s="1"/>
  <c r="F154" i="8"/>
  <c r="W154" i="8"/>
  <c r="H154" i="8"/>
  <c r="D154" i="8"/>
  <c r="W30" i="8"/>
  <c r="F30" i="8"/>
  <c r="D30" i="8"/>
  <c r="H30" i="8"/>
  <c r="E30" i="8"/>
  <c r="G30" i="8" s="1"/>
  <c r="W107" i="8"/>
  <c r="F107" i="8"/>
  <c r="D107" i="8"/>
  <c r="H107" i="8"/>
  <c r="E107" i="8"/>
  <c r="G107" i="8" s="1"/>
  <c r="E148" i="8"/>
  <c r="G148" i="8" s="1"/>
  <c r="H148" i="8"/>
  <c r="D148" i="8"/>
  <c r="F148" i="8"/>
  <c r="W148" i="8"/>
  <c r="Q126" i="8"/>
  <c r="M126" i="8"/>
  <c r="O126" i="8"/>
  <c r="N126" i="8"/>
  <c r="P126" i="8" s="1"/>
  <c r="H66" i="8"/>
  <c r="D66" i="8"/>
  <c r="E66" i="8"/>
  <c r="G66" i="8" s="1"/>
  <c r="W66" i="8"/>
  <c r="F66" i="8"/>
  <c r="W74" i="8"/>
  <c r="F74" i="8"/>
  <c r="H74" i="8"/>
  <c r="D74" i="8"/>
  <c r="E74" i="8"/>
  <c r="G74" i="8" s="1"/>
  <c r="H155" i="8"/>
  <c r="F155" i="8"/>
  <c r="E155" i="8"/>
  <c r="G155" i="8" s="1"/>
  <c r="W155" i="8"/>
  <c r="D155" i="8"/>
  <c r="W156" i="8"/>
  <c r="F156" i="8"/>
  <c r="D156" i="8"/>
  <c r="H156" i="8"/>
  <c r="E156" i="8"/>
  <c r="G156" i="8" s="1"/>
  <c r="W134" i="8"/>
  <c r="D134" i="8"/>
  <c r="H134" i="8"/>
  <c r="E134" i="8"/>
  <c r="G134" i="8" s="1"/>
  <c r="F134" i="8"/>
  <c r="E82" i="8"/>
  <c r="G82" i="8" s="1"/>
  <c r="D82" i="8"/>
  <c r="H82" i="8"/>
  <c r="W82" i="8"/>
  <c r="F82" i="8"/>
  <c r="H161" i="8"/>
  <c r="W161" i="8"/>
  <c r="E161" i="8"/>
  <c r="G161" i="8" s="1"/>
  <c r="D161" i="8"/>
  <c r="F161" i="8"/>
  <c r="M20" i="8"/>
  <c r="N20" i="8"/>
  <c r="P20" i="8" s="1"/>
  <c r="O20" i="8"/>
  <c r="Q20" i="8"/>
  <c r="W172" i="8"/>
  <c r="F172" i="8"/>
  <c r="D172" i="8"/>
  <c r="H172" i="8"/>
  <c r="E172" i="8"/>
  <c r="G172" i="8" s="1"/>
  <c r="M147" i="8"/>
  <c r="Q147" i="8"/>
  <c r="O147" i="8"/>
  <c r="N147" i="8"/>
  <c r="P147" i="8" s="1"/>
  <c r="N33" i="8"/>
  <c r="P33" i="8" s="1"/>
  <c r="M33" i="8"/>
  <c r="Q33" i="8"/>
  <c r="O33" i="8"/>
  <c r="F125" i="8"/>
  <c r="D125" i="8"/>
  <c r="E125" i="8"/>
  <c r="G125" i="8" s="1"/>
  <c r="H125" i="8"/>
  <c r="W125" i="8"/>
  <c r="W114" i="8"/>
  <c r="F114" i="8"/>
  <c r="D114" i="8"/>
  <c r="E114" i="8"/>
  <c r="G114" i="8" s="1"/>
  <c r="H114" i="8"/>
  <c r="O37" i="8"/>
  <c r="N37" i="8"/>
  <c r="P37" i="8" s="1"/>
  <c r="Q37" i="8"/>
  <c r="M37" i="8"/>
  <c r="O36" i="8"/>
  <c r="N36" i="8"/>
  <c r="P36" i="8" s="1"/>
  <c r="M36" i="8"/>
  <c r="Q36" i="8"/>
  <c r="E12" i="8"/>
  <c r="G12" i="8" s="1"/>
  <c r="W12" i="8"/>
  <c r="F12" i="8"/>
  <c r="D12" i="8"/>
  <c r="H12" i="8"/>
  <c r="Q41" i="8"/>
  <c r="M41" i="8"/>
  <c r="O41" i="8"/>
  <c r="N41" i="8"/>
  <c r="P41" i="8" s="1"/>
  <c r="E6" i="5"/>
  <c r="BO8" i="3"/>
  <c r="BP8" i="3" s="1"/>
  <c r="BO10" i="3"/>
  <c r="BP10" i="3" s="1"/>
  <c r="AC10" i="3" s="1"/>
  <c r="BO9" i="3"/>
  <c r="BP9" i="3" s="1"/>
  <c r="N93" i="8"/>
  <c r="P93" i="8" s="1"/>
  <c r="Q93" i="8"/>
  <c r="M93" i="8"/>
  <c r="O93" i="8"/>
  <c r="W164" i="8"/>
  <c r="F164" i="8"/>
  <c r="H164" i="8"/>
  <c r="E164" i="8"/>
  <c r="G164" i="8" s="1"/>
  <c r="D164" i="8"/>
  <c r="Q102" i="8"/>
  <c r="O102" i="8"/>
  <c r="M102" i="8"/>
  <c r="N102" i="8"/>
  <c r="P102" i="8" s="1"/>
  <c r="N108" i="8"/>
  <c r="P108" i="8" s="1"/>
  <c r="M108" i="8"/>
  <c r="Q108" i="8"/>
  <c r="O108" i="8"/>
  <c r="D44" i="8"/>
  <c r="H44" i="8"/>
  <c r="F44" i="8"/>
  <c r="W44" i="8"/>
  <c r="E44" i="8"/>
  <c r="G44" i="8" s="1"/>
  <c r="H130" i="8"/>
  <c r="F130" i="8"/>
  <c r="E130" i="8"/>
  <c r="G130" i="8" s="1"/>
  <c r="D130" i="8"/>
  <c r="W130" i="8"/>
  <c r="Q81" i="8"/>
  <c r="M81" i="8"/>
  <c r="O81" i="8"/>
  <c r="N81" i="8"/>
  <c r="P81" i="8" s="1"/>
  <c r="O30" i="8"/>
  <c r="N30" i="8"/>
  <c r="P30" i="8" s="1"/>
  <c r="M30" i="8"/>
  <c r="Q30" i="8"/>
  <c r="E166" i="8"/>
  <c r="G166" i="8" s="1"/>
  <c r="W166" i="8"/>
  <c r="H166" i="8"/>
  <c r="F166" i="8"/>
  <c r="D166" i="8"/>
  <c r="Q90" i="8"/>
  <c r="M90" i="8"/>
  <c r="N90" i="8"/>
  <c r="P90" i="8" s="1"/>
  <c r="O90" i="8"/>
  <c r="E87" i="8"/>
  <c r="G87" i="8" s="1"/>
  <c r="H87" i="8"/>
  <c r="W87" i="8"/>
  <c r="D87" i="8"/>
  <c r="F87" i="8"/>
  <c r="M134" i="8"/>
  <c r="O134" i="8"/>
  <c r="N134" i="8"/>
  <c r="P134" i="8" s="1"/>
  <c r="Q134" i="8"/>
  <c r="Q11" i="8"/>
  <c r="O11" i="8"/>
  <c r="N11" i="8"/>
  <c r="P11" i="8" s="1"/>
  <c r="M11" i="8"/>
  <c r="W38" i="8"/>
  <c r="D162" i="8"/>
  <c r="H162" i="8"/>
  <c r="F162" i="8"/>
  <c r="W162" i="8"/>
  <c r="E162" i="8"/>
  <c r="G162" i="8" s="1"/>
  <c r="N71" i="8"/>
  <c r="P71" i="8" s="1"/>
  <c r="O71" i="8"/>
  <c r="Q71" i="8"/>
  <c r="M71" i="8"/>
  <c r="E91" i="8"/>
  <c r="G91" i="8" s="1"/>
  <c r="W91" i="8"/>
  <c r="D91" i="8"/>
  <c r="H91" i="8"/>
  <c r="F91" i="8"/>
  <c r="W22" i="8"/>
  <c r="H22" i="8"/>
  <c r="F22" i="8"/>
  <c r="E22" i="8"/>
  <c r="G22" i="8" s="1"/>
  <c r="D22" i="8"/>
  <c r="O125" i="8"/>
  <c r="N125" i="8"/>
  <c r="P125" i="8" s="1"/>
  <c r="M125" i="8"/>
  <c r="Q125" i="8"/>
  <c r="F51" i="8"/>
  <c r="D51" i="8"/>
  <c r="H51" i="8"/>
  <c r="W51" i="8"/>
  <c r="E51" i="8"/>
  <c r="G51" i="8" s="1"/>
  <c r="Q75" i="8"/>
  <c r="M75" i="8"/>
  <c r="N75" i="8"/>
  <c r="P75" i="8" s="1"/>
  <c r="O75" i="8"/>
  <c r="O49" i="8"/>
  <c r="Q49" i="8"/>
  <c r="N49" i="8"/>
  <c r="P49" i="8" s="1"/>
  <c r="M49" i="8"/>
  <c r="R49" i="8" s="1"/>
  <c r="E189" i="8"/>
  <c r="G189" i="8" s="1"/>
  <c r="H189" i="8"/>
  <c r="D189" i="8"/>
  <c r="W189" i="8"/>
  <c r="F189" i="8"/>
  <c r="Q130" i="8"/>
  <c r="N130" i="8"/>
  <c r="P130" i="8" s="1"/>
  <c r="M130" i="8"/>
  <c r="O130" i="8"/>
  <c r="BS9" i="3"/>
  <c r="J6" i="5"/>
  <c r="BS16" i="3"/>
  <c r="BS15" i="3"/>
  <c r="BS11" i="3"/>
  <c r="BS10" i="3"/>
  <c r="BS8" i="3"/>
  <c r="BS12" i="3"/>
  <c r="BS17" i="3"/>
  <c r="BS13" i="3"/>
  <c r="BS18" i="3"/>
  <c r="BS14" i="3"/>
  <c r="BS20" i="3"/>
  <c r="BS19" i="3"/>
  <c r="F36" i="8"/>
  <c r="H36" i="8"/>
  <c r="W36" i="8"/>
  <c r="D36" i="8"/>
  <c r="E36" i="8"/>
  <c r="G36" i="8" s="1"/>
  <c r="N136" i="8"/>
  <c r="P136" i="8" s="1"/>
  <c r="M136" i="8"/>
  <c r="Q136" i="8"/>
  <c r="O136" i="8"/>
  <c r="O98" i="8"/>
  <c r="Q98" i="8"/>
  <c r="N98" i="8"/>
  <c r="P98" i="8" s="1"/>
  <c r="M98" i="8"/>
  <c r="O141" i="8"/>
  <c r="Q141" i="8"/>
  <c r="M141" i="8"/>
  <c r="N141" i="8"/>
  <c r="P141" i="8" s="1"/>
  <c r="W141" i="8"/>
  <c r="D141" i="8"/>
  <c r="E141" i="8"/>
  <c r="G141" i="8" s="1"/>
  <c r="H141" i="8"/>
  <c r="F141" i="8"/>
  <c r="O100" i="8"/>
  <c r="Q100" i="8"/>
  <c r="M100" i="8"/>
  <c r="N100" i="8"/>
  <c r="P100" i="8" s="1"/>
  <c r="W13" i="8"/>
  <c r="F13" i="8"/>
  <c r="H13" i="8"/>
  <c r="E13" i="8"/>
  <c r="G13" i="8" s="1"/>
  <c r="D13" i="8"/>
  <c r="N19" i="8"/>
  <c r="P19" i="8" s="1"/>
  <c r="Q19" i="8"/>
  <c r="M19" i="8"/>
  <c r="O19" i="8"/>
  <c r="N17" i="8"/>
  <c r="P17" i="8" s="1"/>
  <c r="M17" i="8"/>
  <c r="O17" i="8"/>
  <c r="Q17" i="8"/>
  <c r="D103" i="8"/>
  <c r="H103" i="8"/>
  <c r="E103" i="8"/>
  <c r="G103" i="8" s="1"/>
  <c r="F103" i="8"/>
  <c r="W103" i="8"/>
  <c r="O149" i="8"/>
  <c r="M149" i="8"/>
  <c r="N149" i="8"/>
  <c r="P149" i="8" s="1"/>
  <c r="Q149" i="8"/>
  <c r="H42" i="8"/>
  <c r="W42" i="8"/>
  <c r="E42" i="8"/>
  <c r="G42" i="8" s="1"/>
  <c r="F42" i="8"/>
  <c r="D42" i="8"/>
  <c r="O76" i="8"/>
  <c r="M76" i="8"/>
  <c r="Q76" i="8"/>
  <c r="N76" i="8"/>
  <c r="P76" i="8" s="1"/>
  <c r="Q122" i="8"/>
  <c r="O122" i="8"/>
  <c r="M122" i="8"/>
  <c r="N122" i="8"/>
  <c r="P122" i="8" s="1"/>
  <c r="N172" i="8"/>
  <c r="P172" i="8" s="1"/>
  <c r="Q172" i="8"/>
  <c r="O172" i="8"/>
  <c r="M172" i="8"/>
  <c r="O54" i="8"/>
  <c r="M54" i="8"/>
  <c r="R54" i="8" s="1"/>
  <c r="N54" i="8"/>
  <c r="P54" i="8" s="1"/>
  <c r="Q54" i="8"/>
  <c r="W14" i="8"/>
  <c r="F14" i="8"/>
  <c r="E14" i="8"/>
  <c r="G14" i="8" s="1"/>
  <c r="H14" i="8"/>
  <c r="D14" i="8"/>
  <c r="D97" i="8"/>
  <c r="F97" i="8"/>
  <c r="W97" i="8"/>
  <c r="E97" i="8"/>
  <c r="G97" i="8" s="1"/>
  <c r="H97" i="8"/>
  <c r="N31" i="8"/>
  <c r="P31" i="8" s="1"/>
  <c r="M31" i="8"/>
  <c r="Q31" i="8"/>
  <c r="O31" i="8"/>
  <c r="O118" i="8"/>
  <c r="M118" i="8"/>
  <c r="Q118" i="8"/>
  <c r="N118" i="8"/>
  <c r="P118" i="8" s="1"/>
  <c r="F55" i="8"/>
  <c r="W55" i="8"/>
  <c r="E55" i="8"/>
  <c r="G55" i="8" s="1"/>
  <c r="D55" i="8"/>
  <c r="H55" i="8"/>
  <c r="Q192" i="8"/>
  <c r="O192" i="8"/>
  <c r="N192" i="8"/>
  <c r="P192" i="8" s="1"/>
  <c r="M192" i="8"/>
  <c r="W21" i="8"/>
  <c r="E21" i="8"/>
  <c r="G21" i="8" s="1"/>
  <c r="D21" i="8"/>
  <c r="F21" i="8"/>
  <c r="H21" i="8"/>
  <c r="M188" i="8"/>
  <c r="Q188" i="8"/>
  <c r="O188" i="8"/>
  <c r="N188" i="8"/>
  <c r="P188" i="8" s="1"/>
  <c r="N191" i="8"/>
  <c r="P191" i="8" s="1"/>
  <c r="O191" i="8"/>
  <c r="Q191" i="8"/>
  <c r="M191" i="8"/>
  <c r="W24" i="8"/>
  <c r="E24" i="8"/>
  <c r="G24" i="8" s="1"/>
  <c r="H24" i="8"/>
  <c r="D24" i="8"/>
  <c r="F24" i="8"/>
  <c r="Q194" i="8"/>
  <c r="N194" i="8"/>
  <c r="P194" i="8" s="1"/>
  <c r="M194" i="8"/>
  <c r="O194" i="8"/>
  <c r="D46" i="8"/>
  <c r="S46" i="8" s="1"/>
  <c r="E46" i="8"/>
  <c r="G46" i="8" s="1"/>
  <c r="F46" i="8"/>
  <c r="W46" i="8"/>
  <c r="H46" i="8"/>
  <c r="M24" i="8"/>
  <c r="N24" i="8"/>
  <c r="P24" i="8" s="1"/>
  <c r="O24" i="8"/>
  <c r="Q24" i="8"/>
  <c r="M50" i="8"/>
  <c r="R50" i="8" s="1"/>
  <c r="Q50" i="8"/>
  <c r="N50" i="8"/>
  <c r="P50" i="8" s="1"/>
  <c r="O50" i="8"/>
  <c r="N40" i="8"/>
  <c r="P40" i="8" s="1"/>
  <c r="O40" i="8"/>
  <c r="M40" i="8"/>
  <c r="Q40" i="8"/>
  <c r="M89" i="8"/>
  <c r="Q89" i="8"/>
  <c r="N89" i="8"/>
  <c r="P89" i="8" s="1"/>
  <c r="O89" i="8"/>
  <c r="O70" i="8"/>
  <c r="N70" i="8"/>
  <c r="P70" i="8" s="1"/>
  <c r="M70" i="8"/>
  <c r="Q70" i="8"/>
  <c r="F54" i="8"/>
  <c r="W54" i="8"/>
  <c r="H54" i="8"/>
  <c r="E54" i="8"/>
  <c r="G54" i="8" s="1"/>
  <c r="D54" i="8"/>
  <c r="F86" i="8"/>
  <c r="H86" i="8"/>
  <c r="D86" i="8"/>
  <c r="W86" i="8"/>
  <c r="E86" i="8"/>
  <c r="G86" i="8" s="1"/>
  <c r="Q88" i="8"/>
  <c r="M88" i="8"/>
  <c r="O88" i="8"/>
  <c r="N88" i="8"/>
  <c r="P88" i="8" s="1"/>
  <c r="W41" i="8"/>
  <c r="H41" i="8"/>
  <c r="F41" i="8"/>
  <c r="E41" i="8"/>
  <c r="G41" i="8" s="1"/>
  <c r="D41" i="8"/>
  <c r="M72" i="8"/>
  <c r="N72" i="8"/>
  <c r="P72" i="8" s="1"/>
  <c r="Q72" i="8"/>
  <c r="O72" i="8"/>
  <c r="O152" i="8"/>
  <c r="N152" i="8"/>
  <c r="P152" i="8" s="1"/>
  <c r="Q152" i="8"/>
  <c r="M152" i="8"/>
  <c r="BN228" i="3"/>
  <c r="BN156" i="3"/>
  <c r="BN202" i="3"/>
  <c r="BN256" i="3"/>
  <c r="BN40" i="3"/>
  <c r="BN275" i="3"/>
  <c r="BN208" i="3"/>
  <c r="BN117" i="3"/>
  <c r="BN172" i="3"/>
  <c r="BN38" i="3"/>
  <c r="BN194" i="3"/>
  <c r="BN207" i="3"/>
  <c r="BN251" i="3"/>
  <c r="BN182" i="3"/>
  <c r="BN75" i="3"/>
  <c r="BN104" i="3"/>
  <c r="BN32" i="3"/>
  <c r="BN63" i="3"/>
  <c r="BN133" i="3"/>
  <c r="BN178" i="3"/>
  <c r="BN136" i="3"/>
  <c r="BN134" i="3"/>
  <c r="BN54" i="3"/>
  <c r="BN71" i="3"/>
  <c r="BN243" i="3"/>
  <c r="BN239" i="3"/>
  <c r="BN112" i="3"/>
  <c r="BN249" i="3"/>
  <c r="BN240" i="3"/>
  <c r="BN248" i="3"/>
  <c r="BN212" i="3"/>
  <c r="BN245" i="3"/>
  <c r="BN30" i="3"/>
  <c r="BN171" i="3"/>
  <c r="BN267" i="3"/>
  <c r="BN119" i="3"/>
  <c r="BN197" i="3"/>
  <c r="BN87" i="3"/>
  <c r="BN169" i="3"/>
  <c r="BN46" i="3"/>
  <c r="BN77" i="3"/>
  <c r="BN99" i="3"/>
  <c r="BN154" i="3"/>
  <c r="BN124" i="3"/>
  <c r="BN233" i="3"/>
  <c r="BN224" i="3"/>
  <c r="BN85" i="3"/>
  <c r="BN118" i="3"/>
  <c r="BN199" i="3"/>
  <c r="BN48" i="3"/>
  <c r="BN191" i="3"/>
  <c r="BN223" i="3"/>
  <c r="BN25" i="3"/>
  <c r="BN127" i="3"/>
  <c r="BN217" i="3"/>
  <c r="BN185" i="3"/>
  <c r="BN69" i="3"/>
  <c r="BN44" i="3"/>
  <c r="BN56" i="3"/>
  <c r="BN192" i="3"/>
  <c r="BN179" i="3"/>
  <c r="BN35" i="3"/>
  <c r="BN148" i="3"/>
  <c r="Q162" i="8"/>
  <c r="N162" i="8"/>
  <c r="P162" i="8" s="1"/>
  <c r="M162" i="8"/>
  <c r="O162" i="8"/>
  <c r="D99" i="8"/>
  <c r="H99" i="8"/>
  <c r="F99" i="8"/>
  <c r="W99" i="8"/>
  <c r="E99" i="8"/>
  <c r="G99" i="8" s="1"/>
  <c r="Q183" i="8"/>
  <c r="O183" i="8"/>
  <c r="N183" i="8"/>
  <c r="P183" i="8" s="1"/>
  <c r="M183" i="8"/>
  <c r="W139" i="8"/>
  <c r="F139" i="8"/>
  <c r="D139" i="8"/>
  <c r="H139" i="8"/>
  <c r="E139" i="8"/>
  <c r="G139" i="8" s="1"/>
  <c r="Q7" i="8"/>
  <c r="N7" i="8"/>
  <c r="P7" i="8" s="1"/>
  <c r="M7" i="8"/>
  <c r="O7" i="8"/>
  <c r="M57" i="8"/>
  <c r="R57" i="8" s="1"/>
  <c r="Q57" i="8"/>
  <c r="N57" i="8"/>
  <c r="P57" i="8" s="1"/>
  <c r="O57" i="8"/>
  <c r="O65" i="8"/>
  <c r="M65" i="8"/>
  <c r="Q65" i="8"/>
  <c r="N65" i="8"/>
  <c r="P65" i="8" s="1"/>
  <c r="E11" i="8"/>
  <c r="G11" i="8" s="1"/>
  <c r="W11" i="8"/>
  <c r="F11" i="8"/>
  <c r="H11" i="8"/>
  <c r="D11" i="8"/>
  <c r="H149" i="8"/>
  <c r="F149" i="8"/>
  <c r="W149" i="8"/>
  <c r="E149" i="8"/>
  <c r="G149" i="8" s="1"/>
  <c r="D149" i="8"/>
  <c r="H105" i="8"/>
  <c r="E105" i="8"/>
  <c r="G105" i="8" s="1"/>
  <c r="D105" i="8"/>
  <c r="W105" i="8"/>
  <c r="F105" i="8"/>
  <c r="Q112" i="8"/>
  <c r="M112" i="8"/>
  <c r="O112" i="8"/>
  <c r="N112" i="8"/>
  <c r="P112" i="8" s="1"/>
  <c r="Q85" i="8"/>
  <c r="O85" i="8"/>
  <c r="N85" i="8"/>
  <c r="P85" i="8" s="1"/>
  <c r="M85" i="8"/>
  <c r="Q189" i="8"/>
  <c r="O189" i="8"/>
  <c r="N189" i="8"/>
  <c r="P189" i="8" s="1"/>
  <c r="M189" i="8"/>
  <c r="O139" i="8"/>
  <c r="M139" i="8"/>
  <c r="N139" i="8"/>
  <c r="P139" i="8" s="1"/>
  <c r="Q139" i="8"/>
  <c r="W98" i="8"/>
  <c r="H98" i="8"/>
  <c r="F98" i="8"/>
  <c r="E98" i="8"/>
  <c r="G98" i="8" s="1"/>
  <c r="D98" i="8"/>
  <c r="Q186" i="8"/>
  <c r="O186" i="8"/>
  <c r="M186" i="8"/>
  <c r="N186" i="8"/>
  <c r="P186" i="8" s="1"/>
  <c r="N177" i="8"/>
  <c r="P177" i="8" s="1"/>
  <c r="Q177" i="8"/>
  <c r="O177" i="8"/>
  <c r="M177" i="8"/>
  <c r="W104" i="8"/>
  <c r="E104" i="8"/>
  <c r="G104" i="8" s="1"/>
  <c r="H104" i="8"/>
  <c r="D104" i="8"/>
  <c r="F104" i="8"/>
  <c r="O164" i="8"/>
  <c r="Q164" i="8"/>
  <c r="N164" i="8"/>
  <c r="P164" i="8" s="1"/>
  <c r="M164" i="8"/>
  <c r="W32" i="8"/>
  <c r="E32" i="8"/>
  <c r="G32" i="8" s="1"/>
  <c r="H32" i="8"/>
  <c r="D32" i="8"/>
  <c r="F32" i="8"/>
  <c r="M155" i="8"/>
  <c r="Q155" i="8"/>
  <c r="O155" i="8"/>
  <c r="N155" i="8"/>
  <c r="P155" i="8" s="1"/>
  <c r="Q145" i="8"/>
  <c r="N145" i="8"/>
  <c r="P145" i="8" s="1"/>
  <c r="M145" i="8"/>
  <c r="O145" i="8"/>
  <c r="H179" i="8"/>
  <c r="D179" i="8"/>
  <c r="W179" i="8"/>
  <c r="F179" i="8"/>
  <c r="E179" i="8"/>
  <c r="G179" i="8" s="1"/>
  <c r="H116" i="8"/>
  <c r="F116" i="8"/>
  <c r="D116" i="8"/>
  <c r="W116" i="8"/>
  <c r="E116" i="8"/>
  <c r="G116" i="8" s="1"/>
  <c r="N14" i="8"/>
  <c r="P14" i="8" s="1"/>
  <c r="Q14" i="8"/>
  <c r="O14" i="8"/>
  <c r="M14" i="8"/>
  <c r="N159" i="8"/>
  <c r="P159" i="8" s="1"/>
  <c r="M159" i="8"/>
  <c r="Q159" i="8"/>
  <c r="O159" i="8"/>
  <c r="M35" i="8"/>
  <c r="Q35" i="8"/>
  <c r="O35" i="8"/>
  <c r="N35" i="8"/>
  <c r="P35" i="8" s="1"/>
  <c r="H167" i="8"/>
  <c r="D167" i="8"/>
  <c r="F167" i="8"/>
  <c r="E167" i="8"/>
  <c r="G167" i="8" s="1"/>
  <c r="W167" i="8"/>
  <c r="F56" i="8"/>
  <c r="D56" i="8"/>
  <c r="H56" i="8"/>
  <c r="E56" i="8"/>
  <c r="G56" i="8" s="1"/>
  <c r="W56" i="8"/>
  <c r="Q87" i="8"/>
  <c r="O87" i="8"/>
  <c r="N87" i="8"/>
  <c r="P87" i="8" s="1"/>
  <c r="M87" i="8"/>
  <c r="Q115" i="8"/>
  <c r="M115" i="8"/>
  <c r="O115" i="8"/>
  <c r="N115" i="8"/>
  <c r="P115" i="8" s="1"/>
  <c r="M138" i="8"/>
  <c r="N138" i="8"/>
  <c r="P138" i="8" s="1"/>
  <c r="Q138" i="8"/>
  <c r="O138" i="8"/>
  <c r="N73" i="8"/>
  <c r="P73" i="8" s="1"/>
  <c r="M73" i="8"/>
  <c r="Q73" i="8"/>
  <c r="O73" i="8"/>
  <c r="N16" i="8"/>
  <c r="P16" i="8" s="1"/>
  <c r="Q16" i="8"/>
  <c r="M16" i="8"/>
  <c r="O16" i="8"/>
  <c r="O74" i="8"/>
  <c r="N74" i="8"/>
  <c r="P74" i="8" s="1"/>
  <c r="Q74" i="8"/>
  <c r="M74" i="8"/>
  <c r="N160" i="8"/>
  <c r="P160" i="8" s="1"/>
  <c r="O160" i="8"/>
  <c r="M160" i="8"/>
  <c r="Q160" i="8"/>
  <c r="F36" i="5"/>
  <c r="J36" i="8"/>
  <c r="Q51" i="8"/>
  <c r="N51" i="8"/>
  <c r="P51" i="8" s="1"/>
  <c r="O51" i="8"/>
  <c r="M51" i="8"/>
  <c r="R51" i="8" s="1"/>
  <c r="F157" i="8"/>
  <c r="W157" i="8"/>
  <c r="H157" i="8"/>
  <c r="D157" i="8"/>
  <c r="E157" i="8"/>
  <c r="G157" i="8" s="1"/>
  <c r="E90" i="8"/>
  <c r="G90" i="8" s="1"/>
  <c r="H90" i="8"/>
  <c r="F90" i="8"/>
  <c r="W90" i="8"/>
  <c r="D90" i="8"/>
  <c r="Q120" i="8"/>
  <c r="M120" i="8"/>
  <c r="N120" i="8"/>
  <c r="P120" i="8" s="1"/>
  <c r="O120" i="8"/>
  <c r="M198" i="8"/>
  <c r="O198" i="8"/>
  <c r="N198" i="8"/>
  <c r="P198" i="8" s="1"/>
  <c r="Q198" i="8"/>
  <c r="BF7" i="3"/>
  <c r="BH7" i="3" s="1"/>
  <c r="BF9" i="3"/>
  <c r="BF8" i="3"/>
  <c r="D6" i="4"/>
  <c r="Q174" i="8"/>
  <c r="O174" i="8"/>
  <c r="N174" i="8"/>
  <c r="P174" i="8" s="1"/>
  <c r="M174" i="8"/>
  <c r="Q181" i="8"/>
  <c r="O181" i="8"/>
  <c r="N181" i="8"/>
  <c r="P181" i="8" s="1"/>
  <c r="M181" i="8"/>
  <c r="N67" i="8"/>
  <c r="P67" i="8" s="1"/>
  <c r="M67" i="8"/>
  <c r="O67" i="8"/>
  <c r="Q67" i="8"/>
  <c r="M129" i="8"/>
  <c r="Q129" i="8"/>
  <c r="O129" i="8"/>
  <c r="N129" i="8"/>
  <c r="P129" i="8" s="1"/>
  <c r="D102" i="8"/>
  <c r="F102" i="8"/>
  <c r="E102" i="8"/>
  <c r="G102" i="8" s="1"/>
  <c r="W102" i="8"/>
  <c r="H102" i="8"/>
  <c r="Q23" i="8"/>
  <c r="N23" i="8"/>
  <c r="P23" i="8" s="1"/>
  <c r="M23" i="8"/>
  <c r="O23" i="8"/>
  <c r="O132" i="8"/>
  <c r="N132" i="8"/>
  <c r="P132" i="8" s="1"/>
  <c r="Q132" i="8"/>
  <c r="M132" i="8"/>
  <c r="F137" i="8"/>
  <c r="H137" i="8"/>
  <c r="W137" i="8"/>
  <c r="E137" i="8"/>
  <c r="G137" i="8" s="1"/>
  <c r="D137" i="8"/>
  <c r="H170" i="8"/>
  <c r="W170" i="8"/>
  <c r="F170" i="8"/>
  <c r="E170" i="8"/>
  <c r="G170" i="8" s="1"/>
  <c r="D170" i="8"/>
  <c r="N84" i="8"/>
  <c r="P84" i="8" s="1"/>
  <c r="Q84" i="8"/>
  <c r="O84" i="8"/>
  <c r="M84" i="8"/>
  <c r="Q46" i="8"/>
  <c r="N46" i="8"/>
  <c r="P46" i="8" s="1"/>
  <c r="O46" i="8"/>
  <c r="M46" i="8"/>
  <c r="O12" i="8"/>
  <c r="N12" i="8"/>
  <c r="P12" i="8" s="1"/>
  <c r="Q12" i="8"/>
  <c r="M12" i="8"/>
  <c r="Q154" i="8"/>
  <c r="O154" i="8"/>
  <c r="N154" i="8"/>
  <c r="P154" i="8" s="1"/>
  <c r="M154" i="8"/>
  <c r="N62" i="8"/>
  <c r="P62" i="8" s="1"/>
  <c r="O62" i="8"/>
  <c r="Q62" i="8"/>
  <c r="M62" i="8"/>
  <c r="W171" i="8"/>
  <c r="F171" i="8"/>
  <c r="H171" i="8"/>
  <c r="E171" i="8"/>
  <c r="G171" i="8" s="1"/>
  <c r="D171" i="8"/>
  <c r="N18" i="8"/>
  <c r="P18" i="8" s="1"/>
  <c r="Q18" i="8"/>
  <c r="O18" i="8"/>
  <c r="M18" i="8"/>
  <c r="H93" i="8"/>
  <c r="F93" i="8"/>
  <c r="E93" i="8"/>
  <c r="G93" i="8" s="1"/>
  <c r="D93" i="8"/>
  <c r="W93" i="8"/>
  <c r="M58" i="8"/>
  <c r="R58" i="8" s="1"/>
  <c r="Q58" i="8"/>
  <c r="N58" i="8"/>
  <c r="P58" i="8" s="1"/>
  <c r="O58" i="8"/>
  <c r="M43" i="8"/>
  <c r="O43" i="8"/>
  <c r="Q43" i="8"/>
  <c r="N43" i="8"/>
  <c r="P43" i="8" s="1"/>
  <c r="W192" i="8"/>
  <c r="F192" i="8"/>
  <c r="D192" i="8"/>
  <c r="H192" i="8"/>
  <c r="E192" i="8"/>
  <c r="G192" i="8" s="1"/>
  <c r="D124" i="8"/>
  <c r="W124" i="8"/>
  <c r="F124" i="8"/>
  <c r="H124" i="8"/>
  <c r="E124" i="8"/>
  <c r="G124" i="8" s="1"/>
  <c r="F195" i="8"/>
  <c r="W195" i="8"/>
  <c r="E195" i="8"/>
  <c r="G195" i="8" s="1"/>
  <c r="D195" i="8"/>
  <c r="H195" i="8"/>
  <c r="M15" i="8"/>
  <c r="Q15" i="8"/>
  <c r="N15" i="8"/>
  <c r="P15" i="8" s="1"/>
  <c r="O15" i="8"/>
  <c r="D198" i="8"/>
  <c r="H198" i="8"/>
  <c r="W198" i="8"/>
  <c r="F198" i="8"/>
  <c r="E198" i="8"/>
  <c r="G198" i="8" s="1"/>
  <c r="N142" i="8"/>
  <c r="P142" i="8" s="1"/>
  <c r="O142" i="8"/>
  <c r="Q142" i="8"/>
  <c r="M142" i="8"/>
  <c r="Q104" i="8"/>
  <c r="M104" i="8"/>
  <c r="N104" i="8"/>
  <c r="P104" i="8" s="1"/>
  <c r="O104" i="8"/>
  <c r="W27" i="8"/>
  <c r="H27" i="8"/>
  <c r="F27" i="8"/>
  <c r="D27" i="8"/>
  <c r="E27" i="8"/>
  <c r="G27" i="8" s="1"/>
  <c r="D63" i="8"/>
  <c r="W63" i="8"/>
  <c r="E63" i="8"/>
  <c r="G63" i="8" s="1"/>
  <c r="H63" i="8"/>
  <c r="F63" i="8"/>
  <c r="Q124" i="8"/>
  <c r="M124" i="8"/>
  <c r="O124" i="8"/>
  <c r="N124" i="8"/>
  <c r="P124" i="8" s="1"/>
  <c r="M187" i="8"/>
  <c r="Q187" i="8"/>
  <c r="O187" i="8"/>
  <c r="N187" i="8"/>
  <c r="P187" i="8" s="1"/>
  <c r="D61" i="8"/>
  <c r="F61" i="8"/>
  <c r="W61" i="8"/>
  <c r="H61" i="8"/>
  <c r="E61" i="8"/>
  <c r="G61" i="8" s="1"/>
  <c r="E131" i="8"/>
  <c r="G131" i="8" s="1"/>
  <c r="D131" i="8"/>
  <c r="W131" i="8"/>
  <c r="H131" i="8"/>
  <c r="F131" i="8"/>
  <c r="N173" i="8"/>
  <c r="P173" i="8" s="1"/>
  <c r="Q173" i="8"/>
  <c r="O173" i="8"/>
  <c r="M173" i="8"/>
  <c r="Q175" i="8"/>
  <c r="N175" i="8"/>
  <c r="P175" i="8" s="1"/>
  <c r="M175" i="8"/>
  <c r="O175" i="8"/>
  <c r="H181" i="8"/>
  <c r="W181" i="8"/>
  <c r="D181" i="8"/>
  <c r="E181" i="8"/>
  <c r="G181" i="8" s="1"/>
  <c r="F181" i="8"/>
  <c r="W133" i="8"/>
  <c r="E133" i="8"/>
  <c r="G133" i="8" s="1"/>
  <c r="F133" i="8"/>
  <c r="H133" i="8"/>
  <c r="D133" i="8"/>
  <c r="E40" i="8"/>
  <c r="G40" i="8" s="1"/>
  <c r="D40" i="8"/>
  <c r="W40" i="8"/>
  <c r="F40" i="8"/>
  <c r="H40" i="8"/>
  <c r="N39" i="8"/>
  <c r="P39" i="8" s="1"/>
  <c r="M39" i="8"/>
  <c r="O39" i="8"/>
  <c r="Q39" i="8"/>
  <c r="AQ188" i="3" l="1"/>
  <c r="AP188" i="3"/>
  <c r="AQ211" i="3"/>
  <c r="AP211" i="3"/>
  <c r="AQ192" i="3"/>
  <c r="AP192" i="3"/>
  <c r="AQ202" i="3"/>
  <c r="AP202" i="3"/>
  <c r="AQ163" i="3"/>
  <c r="AP163" i="3"/>
  <c r="AQ261" i="3"/>
  <c r="AP261" i="3"/>
  <c r="W44" i="4"/>
  <c r="X44" i="4"/>
  <c r="V44" i="4"/>
  <c r="O38" i="8"/>
  <c r="O201" i="8" s="1"/>
  <c r="F38" i="8"/>
  <c r="M38" i="8"/>
  <c r="W128" i="4"/>
  <c r="V128" i="4"/>
  <c r="X128" i="4"/>
  <c r="W58" i="4"/>
  <c r="X58" i="4"/>
  <c r="V58" i="4"/>
  <c r="V99" i="4"/>
  <c r="X99" i="4"/>
  <c r="W99" i="4"/>
  <c r="X61" i="4"/>
  <c r="V61" i="4"/>
  <c r="W61" i="4"/>
  <c r="W109" i="4"/>
  <c r="X109" i="4"/>
  <c r="V109" i="4"/>
  <c r="C88" i="4"/>
  <c r="AQ89" i="3"/>
  <c r="E88" i="4" s="1"/>
  <c r="AP89" i="3"/>
  <c r="D88" i="4" s="1"/>
  <c r="S88" i="4" s="1"/>
  <c r="C59" i="4"/>
  <c r="AQ60" i="3"/>
  <c r="E59" i="4" s="1"/>
  <c r="V133" i="4"/>
  <c r="W133" i="4"/>
  <c r="X133" i="4"/>
  <c r="C58" i="4"/>
  <c r="AQ59" i="3"/>
  <c r="E58" i="4" s="1"/>
  <c r="H40" i="4"/>
  <c r="AY41" i="3"/>
  <c r="J40" i="4" s="1"/>
  <c r="AX41" i="3"/>
  <c r="I40" i="4" s="1"/>
  <c r="S195" i="4" s="1"/>
  <c r="X10" i="4"/>
  <c r="V10" i="4"/>
  <c r="W10" i="4"/>
  <c r="AX245" i="3"/>
  <c r="AY245" i="3"/>
  <c r="AX126" i="3"/>
  <c r="I125" i="4" s="1"/>
  <c r="S280" i="4" s="1"/>
  <c r="AY126" i="3"/>
  <c r="J125" i="4" s="1"/>
  <c r="H125" i="4"/>
  <c r="X89" i="4"/>
  <c r="W89" i="4"/>
  <c r="V89" i="4"/>
  <c r="V36" i="4"/>
  <c r="X36" i="4"/>
  <c r="W36" i="4"/>
  <c r="W25" i="4"/>
  <c r="V25" i="4"/>
  <c r="X25" i="4"/>
  <c r="W42" i="4"/>
  <c r="V42" i="4"/>
  <c r="X42" i="4"/>
  <c r="X90" i="4"/>
  <c r="W90" i="4"/>
  <c r="V90" i="4"/>
  <c r="W21" i="4"/>
  <c r="V21" i="4"/>
  <c r="X21" i="4"/>
  <c r="H38" i="8"/>
  <c r="X14" i="4"/>
  <c r="W14" i="4"/>
  <c r="V14" i="4"/>
  <c r="X122" i="4"/>
  <c r="W122" i="4"/>
  <c r="V122" i="4"/>
  <c r="X131" i="4"/>
  <c r="V131" i="4"/>
  <c r="W131" i="4"/>
  <c r="W33" i="4"/>
  <c r="V33" i="4"/>
  <c r="X33" i="4"/>
  <c r="X119" i="4"/>
  <c r="W119" i="4"/>
  <c r="V119" i="4"/>
  <c r="V37" i="4"/>
  <c r="W37" i="4"/>
  <c r="X37" i="4"/>
  <c r="X16" i="4"/>
  <c r="V16" i="4"/>
  <c r="W16" i="4"/>
  <c r="V104" i="4"/>
  <c r="X104" i="4"/>
  <c r="W104" i="4"/>
  <c r="W144" i="4"/>
  <c r="V144" i="4"/>
  <c r="X144" i="4"/>
  <c r="AY224" i="3"/>
  <c r="AX224" i="3"/>
  <c r="AP154" i="3"/>
  <c r="D153" i="4" s="1"/>
  <c r="S153" i="4" s="1"/>
  <c r="C153" i="4"/>
  <c r="AQ154" i="3"/>
  <c r="E153" i="4" s="1"/>
  <c r="H69" i="4"/>
  <c r="AY70" i="3"/>
  <c r="J69" i="4" s="1"/>
  <c r="AX70" i="3"/>
  <c r="I69" i="4" s="1"/>
  <c r="S224" i="4" s="1"/>
  <c r="AX37" i="3"/>
  <c r="I36" i="4" s="1"/>
  <c r="S191" i="4" s="1"/>
  <c r="H36" i="4"/>
  <c r="AY37" i="3"/>
  <c r="J36" i="4" s="1"/>
  <c r="AX44" i="3"/>
  <c r="I43" i="4" s="1"/>
  <c r="S198" i="4" s="1"/>
  <c r="H43" i="4"/>
  <c r="AY44" i="3"/>
  <c r="J43" i="4" s="1"/>
  <c r="V132" i="4"/>
  <c r="W132" i="4"/>
  <c r="X132" i="4"/>
  <c r="D38" i="8"/>
  <c r="Q38" i="8"/>
  <c r="Q201" i="8" s="1"/>
  <c r="V59" i="4"/>
  <c r="X59" i="4"/>
  <c r="W59" i="4"/>
  <c r="V147" i="4"/>
  <c r="X147" i="4"/>
  <c r="W147" i="4"/>
  <c r="V148" i="4"/>
  <c r="W148" i="4"/>
  <c r="X148" i="4"/>
  <c r="C109" i="4"/>
  <c r="AQ110" i="3"/>
  <c r="E109" i="4" s="1"/>
  <c r="AY238" i="3"/>
  <c r="AX238" i="3"/>
  <c r="AX199" i="3"/>
  <c r="AY199" i="3"/>
  <c r="AQ220" i="3"/>
  <c r="AP220" i="3"/>
  <c r="H74" i="4"/>
  <c r="AY75" i="3"/>
  <c r="J74" i="4" s="1"/>
  <c r="AX75" i="3"/>
  <c r="I74" i="4" s="1"/>
  <c r="S229" i="4" s="1"/>
  <c r="AX222" i="3"/>
  <c r="AY222" i="3"/>
  <c r="AY184" i="3"/>
  <c r="AX184" i="3"/>
  <c r="AP29" i="3"/>
  <c r="D28" i="4" s="1"/>
  <c r="S28" i="4" s="1"/>
  <c r="AQ29" i="3"/>
  <c r="E28" i="4" s="1"/>
  <c r="C28" i="4"/>
  <c r="AY88" i="3"/>
  <c r="J87" i="4" s="1"/>
  <c r="AX88" i="3"/>
  <c r="I87" i="4" s="1"/>
  <c r="S242" i="4" s="1"/>
  <c r="H87" i="4"/>
  <c r="AQ62" i="3"/>
  <c r="E61" i="4" s="1"/>
  <c r="C61" i="4"/>
  <c r="AQ245" i="3"/>
  <c r="AP245" i="3"/>
  <c r="V103" i="4"/>
  <c r="X103" i="4"/>
  <c r="W103" i="4"/>
  <c r="AP141" i="3"/>
  <c r="D140" i="4" s="1"/>
  <c r="S140" i="4" s="1"/>
  <c r="C140" i="4"/>
  <c r="AQ141" i="3"/>
  <c r="E140" i="4" s="1"/>
  <c r="AX122" i="3"/>
  <c r="I121" i="4" s="1"/>
  <c r="S276" i="4" s="1"/>
  <c r="AY122" i="3"/>
  <c r="J121" i="4" s="1"/>
  <c r="H121" i="4"/>
  <c r="W86" i="4"/>
  <c r="X86" i="4"/>
  <c r="V86" i="4"/>
  <c r="AQ174" i="3"/>
  <c r="AP174" i="3"/>
  <c r="V112" i="4"/>
  <c r="W112" i="4"/>
  <c r="X112" i="4"/>
  <c r="W141" i="4"/>
  <c r="X141" i="4"/>
  <c r="V141" i="4"/>
  <c r="AX232" i="3"/>
  <c r="AY232" i="3"/>
  <c r="C44" i="4"/>
  <c r="AQ45" i="3"/>
  <c r="E44" i="4" s="1"/>
  <c r="AQ126" i="3"/>
  <c r="E125" i="4" s="1"/>
  <c r="C125" i="4"/>
  <c r="AP126" i="3"/>
  <c r="D125" i="4" s="1"/>
  <c r="S125" i="4" s="1"/>
  <c r="AX22" i="3"/>
  <c r="I21" i="4" s="1"/>
  <c r="S176" i="4" s="1"/>
  <c r="AY22" i="3"/>
  <c r="J21" i="4" s="1"/>
  <c r="H21" i="4"/>
  <c r="H37" i="4"/>
  <c r="AY38" i="3"/>
  <c r="J37" i="4" s="1"/>
  <c r="AX38" i="3"/>
  <c r="I37" i="4" s="1"/>
  <c r="S192" i="4" s="1"/>
  <c r="V38" i="4"/>
  <c r="W38" i="4"/>
  <c r="X38" i="4"/>
  <c r="AP125" i="3"/>
  <c r="D124" i="4" s="1"/>
  <c r="S124" i="4" s="1"/>
  <c r="AQ125" i="3"/>
  <c r="E124" i="4" s="1"/>
  <c r="C124" i="4"/>
  <c r="AX49" i="3"/>
  <c r="I48" i="4" s="1"/>
  <c r="S203" i="4" s="1"/>
  <c r="H48" i="4"/>
  <c r="AY49" i="3"/>
  <c r="J48" i="4" s="1"/>
  <c r="AP263" i="3"/>
  <c r="C74" i="4"/>
  <c r="AQ75" i="3"/>
  <c r="E74" i="4" s="1"/>
  <c r="AP75" i="3"/>
  <c r="D74" i="4" s="1"/>
  <c r="S74" i="4" s="1"/>
  <c r="AQ99" i="3"/>
  <c r="E98" i="4" s="1"/>
  <c r="C98" i="4"/>
  <c r="AP99" i="3"/>
  <c r="D98" i="4" s="1"/>
  <c r="S98" i="4" s="1"/>
  <c r="V101" i="4"/>
  <c r="W101" i="4"/>
  <c r="X101" i="4"/>
  <c r="AY273" i="3"/>
  <c r="AX273" i="3"/>
  <c r="AX60" i="3"/>
  <c r="I59" i="4" s="1"/>
  <c r="S214" i="4" s="1"/>
  <c r="H59" i="4"/>
  <c r="AY60" i="3"/>
  <c r="J59" i="4" s="1"/>
  <c r="AP49" i="3"/>
  <c r="D48" i="4" s="1"/>
  <c r="S48" i="4" s="1"/>
  <c r="C48" i="4"/>
  <c r="AQ49" i="3"/>
  <c r="E48" i="4" s="1"/>
  <c r="W159" i="4"/>
  <c r="V159" i="4"/>
  <c r="X159" i="4"/>
  <c r="X26" i="4"/>
  <c r="V26" i="4"/>
  <c r="W26" i="4"/>
  <c r="X149" i="4"/>
  <c r="W149" i="4"/>
  <c r="V149" i="4"/>
  <c r="C38" i="4"/>
  <c r="AQ39" i="3"/>
  <c r="E38" i="4" s="1"/>
  <c r="AQ103" i="3"/>
  <c r="E102" i="4" s="1"/>
  <c r="C102" i="4"/>
  <c r="AX145" i="3"/>
  <c r="I144" i="4" s="1"/>
  <c r="S299" i="4" s="1"/>
  <c r="H144" i="4"/>
  <c r="AY145" i="3"/>
  <c r="J144" i="4" s="1"/>
  <c r="H57" i="4"/>
  <c r="AY58" i="3"/>
  <c r="J57" i="4" s="1"/>
  <c r="AX58" i="3"/>
  <c r="I57" i="4" s="1"/>
  <c r="S212" i="4" s="1"/>
  <c r="C147" i="4"/>
  <c r="AQ148" i="3"/>
  <c r="E147" i="4" s="1"/>
  <c r="AP93" i="3"/>
  <c r="D92" i="4" s="1"/>
  <c r="S92" i="4" s="1"/>
  <c r="AQ93" i="3"/>
  <c r="E92" i="4" s="1"/>
  <c r="C92" i="4"/>
  <c r="W60" i="4"/>
  <c r="X60" i="4"/>
  <c r="V60" i="4"/>
  <c r="C55" i="4"/>
  <c r="AQ56" i="3"/>
  <c r="E55" i="4" s="1"/>
  <c r="AX150" i="3"/>
  <c r="I149" i="4" s="1"/>
  <c r="S304" i="4" s="1"/>
  <c r="H149" i="4"/>
  <c r="AY150" i="3"/>
  <c r="J149" i="4" s="1"/>
  <c r="AY136" i="3"/>
  <c r="J135" i="4" s="1"/>
  <c r="AX136" i="3"/>
  <c r="I135" i="4" s="1"/>
  <c r="S290" i="4" s="1"/>
  <c r="H135" i="4"/>
  <c r="W56" i="4"/>
  <c r="X56" i="4"/>
  <c r="V56" i="4"/>
  <c r="AY239" i="3"/>
  <c r="AX239" i="3"/>
  <c r="AX110" i="3"/>
  <c r="I109" i="4" s="1"/>
  <c r="S264" i="4" s="1"/>
  <c r="H109" i="4"/>
  <c r="AY110" i="3"/>
  <c r="J109" i="4" s="1"/>
  <c r="C117" i="4"/>
  <c r="AQ118" i="3"/>
  <c r="E117" i="4" s="1"/>
  <c r="AY208" i="3"/>
  <c r="AX208" i="3"/>
  <c r="AY132" i="3"/>
  <c r="J131" i="4" s="1"/>
  <c r="H131" i="4"/>
  <c r="AX132" i="3"/>
  <c r="I131" i="4" s="1"/>
  <c r="S286" i="4" s="1"/>
  <c r="C10" i="4"/>
  <c r="AQ11" i="3"/>
  <c r="E10" i="4" s="1"/>
  <c r="H31" i="4"/>
  <c r="AY32" i="3"/>
  <c r="J31" i="4" s="1"/>
  <c r="AX32" i="3"/>
  <c r="I31" i="4" s="1"/>
  <c r="S186" i="4" s="1"/>
  <c r="H84" i="4"/>
  <c r="AX85" i="3"/>
  <c r="I84" i="4" s="1"/>
  <c r="S239" i="4" s="1"/>
  <c r="AY85" i="3"/>
  <c r="J84" i="4" s="1"/>
  <c r="AY86" i="3"/>
  <c r="J85" i="4" s="1"/>
  <c r="AX86" i="3"/>
  <c r="I85" i="4" s="1"/>
  <c r="S240" i="4" s="1"/>
  <c r="H85" i="4"/>
  <c r="H129" i="4"/>
  <c r="AY130" i="3"/>
  <c r="J129" i="4" s="1"/>
  <c r="AX130" i="3"/>
  <c r="I129" i="4" s="1"/>
  <c r="S284" i="4" s="1"/>
  <c r="X95" i="4"/>
  <c r="W95" i="4"/>
  <c r="V95" i="4"/>
  <c r="W78" i="4"/>
  <c r="V78" i="4"/>
  <c r="X78" i="4"/>
  <c r="AY203" i="3"/>
  <c r="AX203" i="3"/>
  <c r="AP21" i="3"/>
  <c r="D20" i="4" s="1"/>
  <c r="S20" i="4" s="1"/>
  <c r="C20" i="4"/>
  <c r="AQ21" i="3"/>
  <c r="E20" i="4" s="1"/>
  <c r="X8" i="4"/>
  <c r="T8" i="4"/>
  <c r="V8" i="4"/>
  <c r="AP175" i="3"/>
  <c r="AY177" i="3"/>
  <c r="AX177" i="3"/>
  <c r="AX80" i="3"/>
  <c r="I79" i="4" s="1"/>
  <c r="S234" i="4" s="1"/>
  <c r="H79" i="4"/>
  <c r="AY80" i="3"/>
  <c r="J79" i="4" s="1"/>
  <c r="AY201" i="3"/>
  <c r="AX201" i="3"/>
  <c r="C107" i="4"/>
  <c r="AQ108" i="3"/>
  <c r="E107" i="4" s="1"/>
  <c r="AY79" i="3"/>
  <c r="J78" i="4" s="1"/>
  <c r="AX79" i="3"/>
  <c r="I78" i="4" s="1"/>
  <c r="S233" i="4" s="1"/>
  <c r="H78" i="4"/>
  <c r="AX262" i="3"/>
  <c r="AY262" i="3"/>
  <c r="AX189" i="3"/>
  <c r="AY189" i="3"/>
  <c r="AX193" i="3"/>
  <c r="AY193" i="3"/>
  <c r="AQ121" i="3"/>
  <c r="E120" i="4" s="1"/>
  <c r="C120" i="4"/>
  <c r="AY20" i="3"/>
  <c r="J19" i="4" s="1"/>
  <c r="AX20" i="3"/>
  <c r="I19" i="4" s="1"/>
  <c r="S174" i="4" s="1"/>
  <c r="H19" i="4"/>
  <c r="AX19" i="3"/>
  <c r="I18" i="4" s="1"/>
  <c r="S173" i="4" s="1"/>
  <c r="AY19" i="3"/>
  <c r="J18" i="4" s="1"/>
  <c r="H18" i="4"/>
  <c r="V135" i="4"/>
  <c r="W135" i="4"/>
  <c r="X135" i="4"/>
  <c r="AP153" i="3"/>
  <c r="D152" i="4" s="1"/>
  <c r="S152" i="4" s="1"/>
  <c r="AQ153" i="3"/>
  <c r="E152" i="4" s="1"/>
  <c r="C152" i="4"/>
  <c r="AY195" i="3"/>
  <c r="AX195" i="3"/>
  <c r="AX141" i="3"/>
  <c r="I140" i="4" s="1"/>
  <c r="S295" i="4" s="1"/>
  <c r="H140" i="4"/>
  <c r="AY141" i="3"/>
  <c r="J140" i="4" s="1"/>
  <c r="W46" i="4"/>
  <c r="X46" i="4"/>
  <c r="V46" i="4"/>
  <c r="AY179" i="3"/>
  <c r="AX179" i="3"/>
  <c r="AY39" i="3"/>
  <c r="J38" i="4" s="1"/>
  <c r="AX39" i="3"/>
  <c r="I38" i="4" s="1"/>
  <c r="S193" i="4" s="1"/>
  <c r="H38" i="4"/>
  <c r="C6" i="4"/>
  <c r="AQ7" i="3"/>
  <c r="AY242" i="3"/>
  <c r="AX242" i="3"/>
  <c r="AQ144" i="3"/>
  <c r="E143" i="4" s="1"/>
  <c r="C143" i="4"/>
  <c r="AX135" i="3"/>
  <c r="I134" i="4" s="1"/>
  <c r="S289" i="4" s="1"/>
  <c r="H134" i="4"/>
  <c r="AY135" i="3"/>
  <c r="J134" i="4" s="1"/>
  <c r="AY40" i="3"/>
  <c r="J39" i="4" s="1"/>
  <c r="AX40" i="3"/>
  <c r="I39" i="4" s="1"/>
  <c r="S194" i="4" s="1"/>
  <c r="H39" i="4"/>
  <c r="C138" i="4"/>
  <c r="AQ139" i="3"/>
  <c r="E138" i="4" s="1"/>
  <c r="AX29" i="3"/>
  <c r="I28" i="4" s="1"/>
  <c r="S183" i="4" s="1"/>
  <c r="H28" i="4"/>
  <c r="AY29" i="3"/>
  <c r="J28" i="4" s="1"/>
  <c r="AX108" i="3"/>
  <c r="I107" i="4" s="1"/>
  <c r="S262" i="4" s="1"/>
  <c r="H107" i="4"/>
  <c r="AY108" i="3"/>
  <c r="J107" i="4" s="1"/>
  <c r="C24" i="4"/>
  <c r="AQ25" i="3"/>
  <c r="E24" i="4" s="1"/>
  <c r="H42" i="4"/>
  <c r="AX43" i="3"/>
  <c r="I42" i="4" s="1"/>
  <c r="S197" i="4" s="1"/>
  <c r="AY43" i="3"/>
  <c r="J42" i="4" s="1"/>
  <c r="C130" i="4"/>
  <c r="AQ131" i="3"/>
  <c r="E130" i="4" s="1"/>
  <c r="AQ98" i="3"/>
  <c r="E97" i="4" s="1"/>
  <c r="C97" i="4"/>
  <c r="C47" i="4"/>
  <c r="AQ48" i="3"/>
  <c r="E47" i="4" s="1"/>
  <c r="AX233" i="3"/>
  <c r="AY233" i="3"/>
  <c r="X160" i="4"/>
  <c r="W160" i="4"/>
  <c r="V160" i="4"/>
  <c r="AQ71" i="3"/>
  <c r="E70" i="4" s="1"/>
  <c r="C70" i="4"/>
  <c r="AY215" i="3"/>
  <c r="AX215" i="3"/>
  <c r="AP162" i="3"/>
  <c r="AY219" i="3"/>
  <c r="AX219" i="3"/>
  <c r="AX171" i="3"/>
  <c r="AY171" i="3"/>
  <c r="AX84" i="3"/>
  <c r="I83" i="4" s="1"/>
  <c r="S238" i="4" s="1"/>
  <c r="AY84" i="3"/>
  <c r="J83" i="4" s="1"/>
  <c r="H83" i="4"/>
  <c r="C51" i="4"/>
  <c r="AQ52" i="3"/>
  <c r="E51" i="4" s="1"/>
  <c r="AX66" i="3"/>
  <c r="I65" i="4" s="1"/>
  <c r="S220" i="4" s="1"/>
  <c r="H65" i="4"/>
  <c r="AY66" i="3"/>
  <c r="J65" i="4" s="1"/>
  <c r="H136" i="4"/>
  <c r="AY137" i="3"/>
  <c r="J136" i="4" s="1"/>
  <c r="AX137" i="3"/>
  <c r="I136" i="4" s="1"/>
  <c r="S291" i="4" s="1"/>
  <c r="AX217" i="3"/>
  <c r="AY217" i="3"/>
  <c r="AY129" i="3"/>
  <c r="J128" i="4" s="1"/>
  <c r="AX129" i="3"/>
  <c r="I128" i="4" s="1"/>
  <c r="S283" i="4" s="1"/>
  <c r="H128" i="4"/>
  <c r="C115" i="4"/>
  <c r="AQ116" i="3"/>
  <c r="E115" i="4" s="1"/>
  <c r="AX134" i="3"/>
  <c r="I133" i="4" s="1"/>
  <c r="S288" i="4" s="1"/>
  <c r="H133" i="4"/>
  <c r="AY134" i="3"/>
  <c r="J133" i="4" s="1"/>
  <c r="AQ46" i="3"/>
  <c r="E45" i="4" s="1"/>
  <c r="C45" i="4"/>
  <c r="AQ72" i="3"/>
  <c r="E71" i="4" s="1"/>
  <c r="C71" i="4"/>
  <c r="AX52" i="3"/>
  <c r="I51" i="4" s="1"/>
  <c r="S206" i="4" s="1"/>
  <c r="H51" i="4"/>
  <c r="AY52" i="3"/>
  <c r="J51" i="4" s="1"/>
  <c r="AX225" i="3"/>
  <c r="AY225" i="3"/>
  <c r="AX149" i="3"/>
  <c r="I148" i="4" s="1"/>
  <c r="S303" i="4" s="1"/>
  <c r="AY149" i="3"/>
  <c r="J148" i="4" s="1"/>
  <c r="H148" i="4"/>
  <c r="AX180" i="3"/>
  <c r="AY180" i="3"/>
  <c r="AY99" i="3"/>
  <c r="J98" i="4" s="1"/>
  <c r="AX99" i="3"/>
  <c r="I98" i="4" s="1"/>
  <c r="S253" i="4" s="1"/>
  <c r="H98" i="4"/>
  <c r="AP52" i="3"/>
  <c r="D51" i="4" s="1"/>
  <c r="S51" i="4" s="1"/>
  <c r="AP101" i="3"/>
  <c r="D100" i="4" s="1"/>
  <c r="S100" i="4" s="1"/>
  <c r="C100" i="4"/>
  <c r="AQ101" i="3"/>
  <c r="E100" i="4" s="1"/>
  <c r="AY256" i="3"/>
  <c r="AX256" i="3"/>
  <c r="AX269" i="3"/>
  <c r="AY269" i="3"/>
  <c r="AX97" i="3"/>
  <c r="I96" i="4" s="1"/>
  <c r="S251" i="4" s="1"/>
  <c r="AY97" i="3"/>
  <c r="J96" i="4" s="1"/>
  <c r="H96" i="4"/>
  <c r="AX100" i="3"/>
  <c r="I99" i="4" s="1"/>
  <c r="S254" i="4" s="1"/>
  <c r="H99" i="4"/>
  <c r="AY100" i="3"/>
  <c r="J99" i="4" s="1"/>
  <c r="AX263" i="3"/>
  <c r="AY263" i="3"/>
  <c r="AQ100" i="3"/>
  <c r="E99" i="4" s="1"/>
  <c r="C99" i="4"/>
  <c r="AX265" i="3"/>
  <c r="AY265" i="3"/>
  <c r="W116" i="4"/>
  <c r="V116" i="4"/>
  <c r="X116" i="4"/>
  <c r="C146" i="4"/>
  <c r="AQ147" i="3"/>
  <c r="E146" i="4" s="1"/>
  <c r="AY62" i="3"/>
  <c r="J61" i="4" s="1"/>
  <c r="AX62" i="3"/>
  <c r="I61" i="4" s="1"/>
  <c r="S216" i="4" s="1"/>
  <c r="H61" i="4"/>
  <c r="AY196" i="3"/>
  <c r="AX196" i="3"/>
  <c r="AY81" i="3"/>
  <c r="J80" i="4" s="1"/>
  <c r="AX81" i="3"/>
  <c r="I80" i="4" s="1"/>
  <c r="S235" i="4" s="1"/>
  <c r="H80" i="4"/>
  <c r="H14" i="4"/>
  <c r="AX15" i="3"/>
  <c r="I14" i="4" s="1"/>
  <c r="S169" i="4" s="1"/>
  <c r="AY119" i="3"/>
  <c r="J118" i="4" s="1"/>
  <c r="AX119" i="3"/>
  <c r="I118" i="4" s="1"/>
  <c r="S273" i="4" s="1"/>
  <c r="H118" i="4"/>
  <c r="AQ55" i="3"/>
  <c r="E54" i="4" s="1"/>
  <c r="C54" i="4"/>
  <c r="AP169" i="3"/>
  <c r="AX59" i="3"/>
  <c r="I58" i="4" s="1"/>
  <c r="S213" i="4" s="1"/>
  <c r="AY59" i="3"/>
  <c r="J58" i="4" s="1"/>
  <c r="H58" i="4"/>
  <c r="AX250" i="3"/>
  <c r="AY250" i="3"/>
  <c r="AQ9" i="3"/>
  <c r="E8" i="4" s="1"/>
  <c r="C8" i="4"/>
  <c r="W8" i="4" s="1"/>
  <c r="AX270" i="3"/>
  <c r="AY270" i="3"/>
  <c r="AY274" i="3"/>
  <c r="AX274" i="3"/>
  <c r="H13" i="4"/>
  <c r="AY14" i="3"/>
  <c r="J13" i="4" s="1"/>
  <c r="AX14" i="3"/>
  <c r="I13" i="4" s="1"/>
  <c r="S168" i="4" s="1"/>
  <c r="AY228" i="3"/>
  <c r="AX228" i="3"/>
  <c r="H76" i="4"/>
  <c r="AY77" i="3"/>
  <c r="J76" i="4" s="1"/>
  <c r="AX77" i="3"/>
  <c r="I76" i="4" s="1"/>
  <c r="S231" i="4" s="1"/>
  <c r="V50" i="4"/>
  <c r="W50" i="4"/>
  <c r="X50" i="4"/>
  <c r="AP206" i="3"/>
  <c r="V151" i="4"/>
  <c r="X151" i="4"/>
  <c r="W151" i="4"/>
  <c r="AP270" i="3"/>
  <c r="V129" i="4"/>
  <c r="W129" i="4"/>
  <c r="X129" i="4"/>
  <c r="W82" i="4"/>
  <c r="X82" i="4"/>
  <c r="V82" i="4"/>
  <c r="AP274" i="3"/>
  <c r="X40" i="4"/>
  <c r="W40" i="4"/>
  <c r="V40" i="4"/>
  <c r="V18" i="4"/>
  <c r="W18" i="4"/>
  <c r="X18" i="4"/>
  <c r="W81" i="4"/>
  <c r="V81" i="4"/>
  <c r="X81" i="4"/>
  <c r="AP226" i="3"/>
  <c r="AQ64" i="3"/>
  <c r="E63" i="4" s="1"/>
  <c r="C63" i="4"/>
  <c r="AX191" i="3"/>
  <c r="AY191" i="3"/>
  <c r="AY8" i="3"/>
  <c r="J7" i="4" s="1"/>
  <c r="AX8" i="3"/>
  <c r="I7" i="4" s="1"/>
  <c r="S162" i="4" s="1"/>
  <c r="H7" i="4"/>
  <c r="AP58" i="3"/>
  <c r="D57" i="4" s="1"/>
  <c r="S57" i="4" s="1"/>
  <c r="AQ58" i="3"/>
  <c r="E57" i="4" s="1"/>
  <c r="C57" i="4"/>
  <c r="AX258" i="3"/>
  <c r="AY258" i="3"/>
  <c r="AY161" i="3"/>
  <c r="J160" i="4" s="1"/>
  <c r="AX161" i="3"/>
  <c r="I160" i="4" s="1"/>
  <c r="S315" i="4" s="1"/>
  <c r="H160" i="4"/>
  <c r="AY30" i="3"/>
  <c r="J29" i="4" s="1"/>
  <c r="AX30" i="3"/>
  <c r="I29" i="4" s="1"/>
  <c r="S184" i="4" s="1"/>
  <c r="H29" i="4"/>
  <c r="H123" i="4"/>
  <c r="AX124" i="3"/>
  <c r="I123" i="4" s="1"/>
  <c r="S278" i="4" s="1"/>
  <c r="AY124" i="3"/>
  <c r="J123" i="4" s="1"/>
  <c r="W142" i="4"/>
  <c r="V142" i="4"/>
  <c r="X142" i="4"/>
  <c r="V19" i="4"/>
  <c r="W19" i="4"/>
  <c r="X19" i="4"/>
  <c r="C86" i="4"/>
  <c r="AQ87" i="3"/>
  <c r="E86" i="4" s="1"/>
  <c r="AX10" i="3"/>
  <c r="I9" i="4" s="1"/>
  <c r="S164" i="4" s="1"/>
  <c r="H9" i="4"/>
  <c r="AY10" i="3"/>
  <c r="J9" i="4" s="1"/>
  <c r="X93" i="4"/>
  <c r="W93" i="4"/>
  <c r="V93" i="4"/>
  <c r="AY168" i="3"/>
  <c r="AX168" i="3"/>
  <c r="H26" i="4"/>
  <c r="AX27" i="3"/>
  <c r="I26" i="4" s="1"/>
  <c r="S181" i="4" s="1"/>
  <c r="AY27" i="3"/>
  <c r="J26" i="4" s="1"/>
  <c r="AX210" i="3"/>
  <c r="AY210" i="3"/>
  <c r="X80" i="4"/>
  <c r="V80" i="4"/>
  <c r="W80" i="4"/>
  <c r="C12" i="4"/>
  <c r="AQ13" i="3"/>
  <c r="E12" i="4" s="1"/>
  <c r="AP248" i="3"/>
  <c r="AX53" i="3"/>
  <c r="I52" i="4" s="1"/>
  <c r="S207" i="4" s="1"/>
  <c r="H52" i="4"/>
  <c r="AY53" i="3"/>
  <c r="J52" i="4" s="1"/>
  <c r="AP108" i="3"/>
  <c r="D107" i="4" s="1"/>
  <c r="S107" i="4" s="1"/>
  <c r="AX170" i="3"/>
  <c r="AY170" i="3"/>
  <c r="H45" i="4"/>
  <c r="AY46" i="3"/>
  <c r="J45" i="4" s="1"/>
  <c r="AX46" i="3"/>
  <c r="I45" i="4" s="1"/>
  <c r="S200" i="4" s="1"/>
  <c r="AY102" i="3"/>
  <c r="J101" i="4" s="1"/>
  <c r="H101" i="4"/>
  <c r="AX102" i="3"/>
  <c r="I101" i="4" s="1"/>
  <c r="S256" i="4" s="1"/>
  <c r="C114" i="4"/>
  <c r="AQ115" i="3"/>
  <c r="E114" i="4" s="1"/>
  <c r="W155" i="4"/>
  <c r="X155" i="4"/>
  <c r="V155" i="4"/>
  <c r="C111" i="4"/>
  <c r="AQ112" i="3"/>
  <c r="E111" i="4" s="1"/>
  <c r="V72" i="4"/>
  <c r="X72" i="4"/>
  <c r="W72" i="4"/>
  <c r="AY205" i="3"/>
  <c r="AX205" i="3"/>
  <c r="AX144" i="3"/>
  <c r="I143" i="4" s="1"/>
  <c r="S298" i="4" s="1"/>
  <c r="AY144" i="3"/>
  <c r="J143" i="4" s="1"/>
  <c r="H143" i="4"/>
  <c r="AX178" i="3"/>
  <c r="AY178" i="3"/>
  <c r="H82" i="4"/>
  <c r="AX83" i="3"/>
  <c r="I82" i="4" s="1"/>
  <c r="S237" i="4" s="1"/>
  <c r="AY83" i="3"/>
  <c r="J82" i="4" s="1"/>
  <c r="H158" i="4"/>
  <c r="AX159" i="3"/>
  <c r="I158" i="4" s="1"/>
  <c r="S313" i="4" s="1"/>
  <c r="AY159" i="3"/>
  <c r="J158" i="4" s="1"/>
  <c r="AP139" i="3"/>
  <c r="D138" i="4" s="1"/>
  <c r="S138" i="4" s="1"/>
  <c r="AQ24" i="3"/>
  <c r="E23" i="4" s="1"/>
  <c r="C23" i="4"/>
  <c r="C136" i="4"/>
  <c r="AQ137" i="3"/>
  <c r="E136" i="4" s="1"/>
  <c r="AY186" i="3"/>
  <c r="AX186" i="3"/>
  <c r="V41" i="4"/>
  <c r="X41" i="4"/>
  <c r="W41" i="4"/>
  <c r="AQ88" i="3"/>
  <c r="E87" i="4" s="1"/>
  <c r="C87" i="4"/>
  <c r="C154" i="4"/>
  <c r="AQ155" i="3"/>
  <c r="E154" i="4" s="1"/>
  <c r="AX172" i="3"/>
  <c r="AY172" i="3"/>
  <c r="AP165" i="3"/>
  <c r="H6" i="4"/>
  <c r="AX7" i="3"/>
  <c r="AY7" i="3"/>
  <c r="AS7" i="3"/>
  <c r="AX181" i="3"/>
  <c r="AY181" i="3"/>
  <c r="AY197" i="3"/>
  <c r="AX197" i="3"/>
  <c r="AX164" i="3"/>
  <c r="AY164" i="3"/>
  <c r="AX154" i="3"/>
  <c r="I153" i="4" s="1"/>
  <c r="S308" i="4" s="1"/>
  <c r="H153" i="4"/>
  <c r="AY154" i="3"/>
  <c r="J153" i="4" s="1"/>
  <c r="AX64" i="3"/>
  <c r="I63" i="4" s="1"/>
  <c r="S218" i="4" s="1"/>
  <c r="H63" i="4"/>
  <c r="AY64" i="3"/>
  <c r="J63" i="4" s="1"/>
  <c r="W39" i="4"/>
  <c r="V39" i="4"/>
  <c r="X39" i="4"/>
  <c r="W15" i="4"/>
  <c r="X15" i="4"/>
  <c r="V15" i="4"/>
  <c r="X43" i="4"/>
  <c r="V43" i="4"/>
  <c r="W43" i="4"/>
  <c r="AP272" i="3"/>
  <c r="AY87" i="3"/>
  <c r="J86" i="4" s="1"/>
  <c r="AX87" i="3"/>
  <c r="I86" i="4" s="1"/>
  <c r="S241" i="4" s="1"/>
  <c r="H86" i="4"/>
  <c r="H114" i="4"/>
  <c r="AX115" i="3"/>
  <c r="I114" i="4" s="1"/>
  <c r="S269" i="4" s="1"/>
  <c r="AY115" i="3"/>
  <c r="J114" i="4" s="1"/>
  <c r="H73" i="4"/>
  <c r="AY74" i="3"/>
  <c r="J73" i="4" s="1"/>
  <c r="AX74" i="3"/>
  <c r="I73" i="4" s="1"/>
  <c r="S228" i="4" s="1"/>
  <c r="C76" i="4"/>
  <c r="AQ77" i="3"/>
  <c r="E76" i="4" s="1"/>
  <c r="C64" i="4"/>
  <c r="AQ65" i="3"/>
  <c r="E64" i="4" s="1"/>
  <c r="AX69" i="3"/>
  <c r="I68" i="4" s="1"/>
  <c r="S223" i="4" s="1"/>
  <c r="H68" i="4"/>
  <c r="AY69" i="3"/>
  <c r="J68" i="4" s="1"/>
  <c r="AY95" i="3"/>
  <c r="J94" i="4" s="1"/>
  <c r="AX95" i="3"/>
  <c r="I94" i="4" s="1"/>
  <c r="S249" i="4" s="1"/>
  <c r="H94" i="4"/>
  <c r="AP121" i="3"/>
  <c r="D120" i="4" s="1"/>
  <c r="S120" i="4" s="1"/>
  <c r="AP253" i="3"/>
  <c r="AQ143" i="3"/>
  <c r="E142" i="4" s="1"/>
  <c r="C142" i="4"/>
  <c r="AX36" i="3"/>
  <c r="I35" i="4" s="1"/>
  <c r="S190" i="4" s="1"/>
  <c r="H35" i="4"/>
  <c r="AY36" i="3"/>
  <c r="J35" i="4" s="1"/>
  <c r="AQ42" i="3"/>
  <c r="E41" i="4" s="1"/>
  <c r="C41" i="4"/>
  <c r="C95" i="4"/>
  <c r="AQ96" i="3"/>
  <c r="E95" i="4" s="1"/>
  <c r="W126" i="4"/>
  <c r="X126" i="4"/>
  <c r="V126" i="4"/>
  <c r="AQ90" i="3"/>
  <c r="E89" i="4" s="1"/>
  <c r="C89" i="4"/>
  <c r="AY42" i="3"/>
  <c r="J41" i="4" s="1"/>
  <c r="AX42" i="3"/>
  <c r="I41" i="4" s="1"/>
  <c r="S196" i="4" s="1"/>
  <c r="H41" i="4"/>
  <c r="AP112" i="3"/>
  <c r="D111" i="4" s="1"/>
  <c r="S111" i="4" s="1"/>
  <c r="C16" i="4"/>
  <c r="AQ17" i="3"/>
  <c r="E16" i="4" s="1"/>
  <c r="AQ113" i="3"/>
  <c r="E112" i="4" s="1"/>
  <c r="C112" i="4"/>
  <c r="AY248" i="3"/>
  <c r="AX248" i="3"/>
  <c r="W108" i="4"/>
  <c r="V108" i="4"/>
  <c r="X108" i="4"/>
  <c r="AX111" i="3"/>
  <c r="I110" i="4" s="1"/>
  <c r="S265" i="4" s="1"/>
  <c r="H110" i="4"/>
  <c r="AY111" i="3"/>
  <c r="J110" i="4" s="1"/>
  <c r="AQ78" i="3"/>
  <c r="E77" i="4" s="1"/>
  <c r="C77" i="4"/>
  <c r="C103" i="4"/>
  <c r="AQ104" i="3"/>
  <c r="E103" i="4" s="1"/>
  <c r="AP222" i="3"/>
  <c r="C91" i="4"/>
  <c r="AQ92" i="3"/>
  <c r="E91" i="4" s="1"/>
  <c r="AX57" i="3"/>
  <c r="I56" i="4" s="1"/>
  <c r="S211" i="4" s="1"/>
  <c r="H56" i="4"/>
  <c r="AY57" i="3"/>
  <c r="J56" i="4" s="1"/>
  <c r="AY272" i="3"/>
  <c r="AX272" i="3"/>
  <c r="AY107" i="3"/>
  <c r="J106" i="4" s="1"/>
  <c r="AX107" i="3"/>
  <c r="I106" i="4" s="1"/>
  <c r="S261" i="4" s="1"/>
  <c r="H106" i="4"/>
  <c r="AX109" i="3"/>
  <c r="I108" i="4" s="1"/>
  <c r="S263" i="4" s="1"/>
  <c r="H108" i="4"/>
  <c r="AY109" i="3"/>
  <c r="J108" i="4" s="1"/>
  <c r="C43" i="4"/>
  <c r="AQ44" i="3"/>
  <c r="E43" i="4" s="1"/>
  <c r="AX221" i="3"/>
  <c r="AY221" i="3"/>
  <c r="AQ117" i="3"/>
  <c r="E116" i="4" s="1"/>
  <c r="C116" i="4"/>
  <c r="AQ123" i="3"/>
  <c r="E122" i="4" s="1"/>
  <c r="C122" i="4"/>
  <c r="C96" i="4"/>
  <c r="AQ97" i="3"/>
  <c r="E96" i="4" s="1"/>
  <c r="AP144" i="3"/>
  <c r="D143" i="4" s="1"/>
  <c r="S143" i="4" s="1"/>
  <c r="AQ127" i="3"/>
  <c r="E126" i="4" s="1"/>
  <c r="C126" i="4"/>
  <c r="AX167" i="3"/>
  <c r="AY167" i="3"/>
  <c r="W67" i="4"/>
  <c r="V67" i="4"/>
  <c r="X67" i="4"/>
  <c r="AP215" i="3"/>
  <c r="AX151" i="3"/>
  <c r="I150" i="4" s="1"/>
  <c r="S305" i="4" s="1"/>
  <c r="H150" i="4"/>
  <c r="AY151" i="3"/>
  <c r="J150" i="4" s="1"/>
  <c r="AX45" i="3"/>
  <c r="I44" i="4" s="1"/>
  <c r="S199" i="4" s="1"/>
  <c r="AY45" i="3"/>
  <c r="J44" i="4" s="1"/>
  <c r="H44" i="4"/>
  <c r="AX105" i="3"/>
  <c r="I104" i="4" s="1"/>
  <c r="S259" i="4" s="1"/>
  <c r="H104" i="4"/>
  <c r="AY105" i="3"/>
  <c r="J104" i="4" s="1"/>
  <c r="AY117" i="3"/>
  <c r="J116" i="4" s="1"/>
  <c r="AX117" i="3"/>
  <c r="I116" i="4" s="1"/>
  <c r="S271" i="4" s="1"/>
  <c r="H116" i="4"/>
  <c r="C52" i="4"/>
  <c r="AQ53" i="3"/>
  <c r="E52" i="4" s="1"/>
  <c r="AQ156" i="3"/>
  <c r="E155" i="4" s="1"/>
  <c r="C155" i="4"/>
  <c r="AQ76" i="3"/>
  <c r="E75" i="4" s="1"/>
  <c r="C75" i="4"/>
  <c r="C67" i="4"/>
  <c r="AQ68" i="3"/>
  <c r="E67" i="4" s="1"/>
  <c r="W137" i="4"/>
  <c r="V137" i="4"/>
  <c r="X137" i="4"/>
  <c r="AY152" i="3"/>
  <c r="J151" i="4" s="1"/>
  <c r="AX152" i="3"/>
  <c r="I151" i="4" s="1"/>
  <c r="S306" i="4" s="1"/>
  <c r="H151" i="4"/>
  <c r="C137" i="4"/>
  <c r="AQ138" i="3"/>
  <c r="E137" i="4" s="1"/>
  <c r="C101" i="4"/>
  <c r="AQ102" i="3"/>
  <c r="E101" i="4" s="1"/>
  <c r="AQ94" i="3"/>
  <c r="E93" i="4" s="1"/>
  <c r="C93" i="4"/>
  <c r="H154" i="4"/>
  <c r="AY155" i="3"/>
  <c r="J154" i="4" s="1"/>
  <c r="AX155" i="3"/>
  <c r="I154" i="4" s="1"/>
  <c r="S309" i="4" s="1"/>
  <c r="C32" i="4"/>
  <c r="AQ33" i="3"/>
  <c r="E32" i="4" s="1"/>
  <c r="AY259" i="3"/>
  <c r="AX259" i="3"/>
  <c r="AP196" i="3"/>
  <c r="AP103" i="3"/>
  <c r="D102" i="4" s="1"/>
  <c r="S102" i="4" s="1"/>
  <c r="H115" i="4"/>
  <c r="AY116" i="3"/>
  <c r="J115" i="4" s="1"/>
  <c r="AX116" i="3"/>
  <c r="I115" i="4" s="1"/>
  <c r="S270" i="4" s="1"/>
  <c r="AY187" i="3"/>
  <c r="AX187" i="3"/>
  <c r="AX261" i="3"/>
  <c r="AY261" i="3"/>
  <c r="AY185" i="3"/>
  <c r="AX185" i="3"/>
  <c r="H92" i="4"/>
  <c r="AX93" i="3"/>
  <c r="I92" i="4" s="1"/>
  <c r="S247" i="4" s="1"/>
  <c r="AY93" i="3"/>
  <c r="J92" i="4" s="1"/>
  <c r="AY234" i="3"/>
  <c r="AX234" i="3"/>
  <c r="AY206" i="3"/>
  <c r="AX206" i="3"/>
  <c r="AY192" i="3"/>
  <c r="AX192" i="3"/>
  <c r="C56" i="4"/>
  <c r="AQ57" i="3"/>
  <c r="E56" i="4" s="1"/>
  <c r="H145" i="4"/>
  <c r="AY146" i="3"/>
  <c r="J145" i="4" s="1"/>
  <c r="AX146" i="3"/>
  <c r="I145" i="4" s="1"/>
  <c r="S300" i="4" s="1"/>
  <c r="AP53" i="3"/>
  <c r="D52" i="4" s="1"/>
  <c r="S52" i="4" s="1"/>
  <c r="X85" i="4"/>
  <c r="V85" i="4"/>
  <c r="W85" i="4"/>
  <c r="AP147" i="3"/>
  <c r="D146" i="4" s="1"/>
  <c r="S146" i="4" s="1"/>
  <c r="AP216" i="3"/>
  <c r="AX125" i="3"/>
  <c r="I124" i="4" s="1"/>
  <c r="S279" i="4" s="1"/>
  <c r="H124" i="4"/>
  <c r="AY125" i="3"/>
  <c r="J124" i="4" s="1"/>
  <c r="AX51" i="3"/>
  <c r="I50" i="4" s="1"/>
  <c r="S205" i="4" s="1"/>
  <c r="H50" i="4"/>
  <c r="AY51" i="3"/>
  <c r="J50" i="4" s="1"/>
  <c r="C134" i="4"/>
  <c r="AQ135" i="3"/>
  <c r="E134" i="4" s="1"/>
  <c r="AQ28" i="3"/>
  <c r="E27" i="4" s="1"/>
  <c r="C27" i="4"/>
  <c r="C85" i="4"/>
  <c r="AQ86" i="3"/>
  <c r="E85" i="4" s="1"/>
  <c r="C53" i="4"/>
  <c r="AQ54" i="3"/>
  <c r="E53" i="4" s="1"/>
  <c r="AY118" i="3"/>
  <c r="J117" i="4" s="1"/>
  <c r="AX118" i="3"/>
  <c r="I117" i="4" s="1"/>
  <c r="S272" i="4" s="1"/>
  <c r="H117" i="4"/>
  <c r="AY23" i="3"/>
  <c r="J22" i="4" s="1"/>
  <c r="H22" i="4"/>
  <c r="AX23" i="3"/>
  <c r="I22" i="4" s="1"/>
  <c r="S177" i="4" s="1"/>
  <c r="AX244" i="3"/>
  <c r="AY244" i="3"/>
  <c r="AP64" i="3"/>
  <c r="D63" i="4" s="1"/>
  <c r="S63" i="4" s="1"/>
  <c r="W76" i="4"/>
  <c r="V76" i="4"/>
  <c r="X76" i="4"/>
  <c r="AP25" i="3"/>
  <c r="D24" i="4" s="1"/>
  <c r="S24" i="4" s="1"/>
  <c r="AP71" i="3"/>
  <c r="D70" i="4" s="1"/>
  <c r="S70" i="4" s="1"/>
  <c r="W84" i="4"/>
  <c r="X84" i="4"/>
  <c r="V84" i="4"/>
  <c r="AP238" i="3"/>
  <c r="W22" i="4"/>
  <c r="X22" i="4"/>
  <c r="V22" i="4"/>
  <c r="AP137" i="3"/>
  <c r="D136" i="4" s="1"/>
  <c r="S136" i="4" s="1"/>
  <c r="AP246" i="3"/>
  <c r="AY21" i="3"/>
  <c r="J20" i="4" s="1"/>
  <c r="H20" i="4"/>
  <c r="AX21" i="3"/>
  <c r="I20" i="4" s="1"/>
  <c r="S175" i="4" s="1"/>
  <c r="AP63" i="3"/>
  <c r="D62" i="4" s="1"/>
  <c r="S62" i="4" s="1"/>
  <c r="C62" i="4"/>
  <c r="AQ63" i="3"/>
  <c r="E62" i="4" s="1"/>
  <c r="AY264" i="3"/>
  <c r="AX264" i="3"/>
  <c r="AY169" i="3"/>
  <c r="AX169" i="3"/>
  <c r="AY140" i="3"/>
  <c r="J139" i="4" s="1"/>
  <c r="AX140" i="3"/>
  <c r="I139" i="4" s="1"/>
  <c r="S294" i="4" s="1"/>
  <c r="H139" i="4"/>
  <c r="W35" i="4"/>
  <c r="V35" i="4"/>
  <c r="X35" i="4"/>
  <c r="AY202" i="3"/>
  <c r="AX202" i="3"/>
  <c r="X118" i="4"/>
  <c r="V118" i="4"/>
  <c r="W118" i="4"/>
  <c r="AP210" i="3"/>
  <c r="AY63" i="3"/>
  <c r="J62" i="4" s="1"/>
  <c r="AX63" i="3"/>
  <c r="I62" i="4" s="1"/>
  <c r="S217" i="4" s="1"/>
  <c r="H62" i="4"/>
  <c r="AP98" i="3"/>
  <c r="D97" i="4" s="1"/>
  <c r="S97" i="4" s="1"/>
  <c r="AY204" i="3"/>
  <c r="AX204" i="3"/>
  <c r="AY82" i="3"/>
  <c r="J81" i="4" s="1"/>
  <c r="AX82" i="3"/>
  <c r="I81" i="4" s="1"/>
  <c r="S236" i="4" s="1"/>
  <c r="H81" i="4"/>
  <c r="C35" i="4"/>
  <c r="A1" i="4" s="1"/>
  <c r="AQ36" i="3"/>
  <c r="E35" i="4" s="1"/>
  <c r="AP217" i="3"/>
  <c r="AX73" i="3"/>
  <c r="I72" i="4" s="1"/>
  <c r="S227" i="4" s="1"/>
  <c r="AY73" i="3"/>
  <c r="J72" i="4" s="1"/>
  <c r="H72" i="4"/>
  <c r="AP229" i="3"/>
  <c r="AY24" i="3"/>
  <c r="J23" i="4" s="1"/>
  <c r="H23" i="4"/>
  <c r="AX24" i="3"/>
  <c r="I23" i="4" s="1"/>
  <c r="S178" i="4" s="1"/>
  <c r="AQ83" i="3"/>
  <c r="E82" i="4" s="1"/>
  <c r="C82" i="4"/>
  <c r="AX231" i="3"/>
  <c r="AY231" i="3"/>
  <c r="H30" i="4"/>
  <c r="AY31" i="3"/>
  <c r="J30" i="4" s="1"/>
  <c r="AX31" i="3"/>
  <c r="I30" i="4" s="1"/>
  <c r="S185" i="4" s="1"/>
  <c r="AY253" i="3"/>
  <c r="AX253" i="3"/>
  <c r="H67" i="4"/>
  <c r="AX68" i="3"/>
  <c r="I67" i="4" s="1"/>
  <c r="S222" i="4" s="1"/>
  <c r="AY68" i="3"/>
  <c r="J67" i="4" s="1"/>
  <c r="C129" i="4"/>
  <c r="AQ130" i="3"/>
  <c r="E129" i="4" s="1"/>
  <c r="AP118" i="3"/>
  <c r="D117" i="4" s="1"/>
  <c r="S117" i="4" s="1"/>
  <c r="AP84" i="3"/>
  <c r="D83" i="4" s="1"/>
  <c r="S83" i="4" s="1"/>
  <c r="C83" i="4"/>
  <c r="AQ84" i="3"/>
  <c r="E83" i="4" s="1"/>
  <c r="AP116" i="3"/>
  <c r="D115" i="4" s="1"/>
  <c r="S115" i="4" s="1"/>
  <c r="AY271" i="3"/>
  <c r="AX271" i="3"/>
  <c r="AX236" i="3"/>
  <c r="AY236" i="3"/>
  <c r="AY158" i="3"/>
  <c r="J157" i="4" s="1"/>
  <c r="AX158" i="3"/>
  <c r="I157" i="4" s="1"/>
  <c r="S312" i="4" s="1"/>
  <c r="H157" i="4"/>
  <c r="AP14" i="3"/>
  <c r="D13" i="4" s="1"/>
  <c r="S13" i="4" s="1"/>
  <c r="AQ14" i="3"/>
  <c r="E13" i="4" s="1"/>
  <c r="C13" i="4"/>
  <c r="H12" i="4"/>
  <c r="AX13" i="3"/>
  <c r="I12" i="4" s="1"/>
  <c r="S167" i="4" s="1"/>
  <c r="AY13" i="3"/>
  <c r="J12" i="4" s="1"/>
  <c r="AP55" i="3"/>
  <c r="D54" i="4" s="1"/>
  <c r="S54" i="4" s="1"/>
  <c r="V17" i="4"/>
  <c r="X17" i="4"/>
  <c r="W17" i="4"/>
  <c r="X73" i="4"/>
  <c r="W73" i="4"/>
  <c r="V73" i="4"/>
  <c r="AP269" i="3"/>
  <c r="AP56" i="3"/>
  <c r="D55" i="4" s="1"/>
  <c r="S55" i="4" s="1"/>
  <c r="H93" i="4"/>
  <c r="AY94" i="3"/>
  <c r="J93" i="4" s="1"/>
  <c r="AX94" i="3"/>
  <c r="I93" i="4" s="1"/>
  <c r="S248" i="4" s="1"/>
  <c r="AY54" i="3"/>
  <c r="J53" i="4" s="1"/>
  <c r="AX54" i="3"/>
  <c r="I53" i="4" s="1"/>
  <c r="S208" i="4" s="1"/>
  <c r="H53" i="4"/>
  <c r="AQ8" i="3"/>
  <c r="E7" i="4" s="1"/>
  <c r="C7" i="4"/>
  <c r="H113" i="4"/>
  <c r="AY114" i="3"/>
  <c r="J113" i="4" s="1"/>
  <c r="AX114" i="3"/>
  <c r="I113" i="4" s="1"/>
  <c r="S268" i="4" s="1"/>
  <c r="AY251" i="3"/>
  <c r="AX251" i="3"/>
  <c r="AX211" i="3"/>
  <c r="AY211" i="3"/>
  <c r="H156" i="4"/>
  <c r="AY157" i="3"/>
  <c r="J156" i="4" s="1"/>
  <c r="AX157" i="3"/>
  <c r="I156" i="4" s="1"/>
  <c r="S311" i="4" s="1"/>
  <c r="AP213" i="3"/>
  <c r="AP224" i="3"/>
  <c r="AP131" i="3"/>
  <c r="D130" i="4" s="1"/>
  <c r="S130" i="4" s="1"/>
  <c r="AX227" i="3"/>
  <c r="AY227" i="3"/>
  <c r="H34" i="4"/>
  <c r="AX35" i="3"/>
  <c r="I34" i="4" s="1"/>
  <c r="S189" i="4" s="1"/>
  <c r="AY35" i="3"/>
  <c r="J34" i="4" s="1"/>
  <c r="AQ79" i="3"/>
  <c r="E78" i="4" s="1"/>
  <c r="C78" i="4"/>
  <c r="AX101" i="3"/>
  <c r="I100" i="4" s="1"/>
  <c r="S255" i="4" s="1"/>
  <c r="H100" i="4"/>
  <c r="AY101" i="3"/>
  <c r="J100" i="4" s="1"/>
  <c r="AP241" i="3"/>
  <c r="H120" i="4"/>
  <c r="AY121" i="3"/>
  <c r="J120" i="4" s="1"/>
  <c r="AX121" i="3"/>
  <c r="I120" i="4" s="1"/>
  <c r="S275" i="4" s="1"/>
  <c r="AY104" i="3"/>
  <c r="J103" i="4" s="1"/>
  <c r="H103" i="4"/>
  <c r="AX104" i="3"/>
  <c r="I103" i="4" s="1"/>
  <c r="S258" i="4" s="1"/>
  <c r="AQ34" i="3"/>
  <c r="E33" i="4" s="1"/>
  <c r="C33" i="4"/>
  <c r="AX240" i="3"/>
  <c r="AY240" i="3"/>
  <c r="AY241" i="3"/>
  <c r="AX241" i="3"/>
  <c r="AX266" i="3"/>
  <c r="AY266" i="3"/>
  <c r="AY128" i="3"/>
  <c r="J127" i="4" s="1"/>
  <c r="AX128" i="3"/>
  <c r="I127" i="4" s="1"/>
  <c r="S282" i="4" s="1"/>
  <c r="H127" i="4"/>
  <c r="AY268" i="3"/>
  <c r="AX268" i="3"/>
  <c r="AP185" i="3"/>
  <c r="H122" i="4"/>
  <c r="AX123" i="3"/>
  <c r="I122" i="4" s="1"/>
  <c r="S277" i="4" s="1"/>
  <c r="AY123" i="3"/>
  <c r="J122" i="4" s="1"/>
  <c r="AY89" i="3"/>
  <c r="J88" i="4" s="1"/>
  <c r="AX89" i="3"/>
  <c r="I88" i="4" s="1"/>
  <c r="S243" i="4" s="1"/>
  <c r="H88" i="4"/>
  <c r="AY127" i="3"/>
  <c r="J126" i="4" s="1"/>
  <c r="H126" i="4"/>
  <c r="AX127" i="3"/>
  <c r="I126" i="4" s="1"/>
  <c r="S281" i="4" s="1"/>
  <c r="X156" i="4"/>
  <c r="W156" i="4"/>
  <c r="V156" i="4"/>
  <c r="AX212" i="3"/>
  <c r="AY212" i="3"/>
  <c r="AX223" i="3"/>
  <c r="AY223" i="3"/>
  <c r="AP254" i="3"/>
  <c r="AP95" i="3"/>
  <c r="D94" i="4" s="1"/>
  <c r="S94" i="4" s="1"/>
  <c r="C94" i="4"/>
  <c r="AQ95" i="3"/>
  <c r="E94" i="4" s="1"/>
  <c r="AX257" i="3"/>
  <c r="AY257" i="3"/>
  <c r="AX216" i="3"/>
  <c r="AY216" i="3"/>
  <c r="AX175" i="3"/>
  <c r="AY175" i="3"/>
  <c r="AX11" i="3"/>
  <c r="I10" i="4" s="1"/>
  <c r="S165" i="4" s="1"/>
  <c r="H10" i="4"/>
  <c r="W134" i="4"/>
  <c r="X134" i="4"/>
  <c r="V134" i="4"/>
  <c r="AX252" i="3"/>
  <c r="AY252" i="3"/>
  <c r="AP232" i="3"/>
  <c r="AX131" i="3"/>
  <c r="I130" i="4" s="1"/>
  <c r="S285" i="4" s="1"/>
  <c r="H130" i="4"/>
  <c r="AY131" i="3"/>
  <c r="J130" i="4" s="1"/>
  <c r="H71" i="4"/>
  <c r="AX72" i="3"/>
  <c r="I71" i="4" s="1"/>
  <c r="S226" i="4" s="1"/>
  <c r="AY72" i="3"/>
  <c r="J71" i="4" s="1"/>
  <c r="AY98" i="3"/>
  <c r="J97" i="4" s="1"/>
  <c r="AX98" i="3"/>
  <c r="I97" i="4" s="1"/>
  <c r="S252" i="4" s="1"/>
  <c r="H97" i="4"/>
  <c r="C108" i="4"/>
  <c r="AQ109" i="3"/>
  <c r="E108" i="4" s="1"/>
  <c r="AP155" i="3"/>
  <c r="D154" i="4" s="1"/>
  <c r="S154" i="4" s="1"/>
  <c r="AQ128" i="3"/>
  <c r="E127" i="4" s="1"/>
  <c r="C127" i="4"/>
  <c r="H33" i="4"/>
  <c r="AY34" i="3"/>
  <c r="J33" i="4" s="1"/>
  <c r="AX34" i="3"/>
  <c r="I33" i="4" s="1"/>
  <c r="S188" i="4" s="1"/>
  <c r="AY207" i="3"/>
  <c r="AX207" i="3"/>
  <c r="AP46" i="3"/>
  <c r="D45" i="4" s="1"/>
  <c r="S45" i="4" s="1"/>
  <c r="C36" i="4"/>
  <c r="AQ37" i="3"/>
  <c r="E36" i="4" s="1"/>
  <c r="H111" i="4"/>
  <c r="AX112" i="3"/>
  <c r="I111" i="4" s="1"/>
  <c r="S266" i="4" s="1"/>
  <c r="AY112" i="3"/>
  <c r="J111" i="4" s="1"/>
  <c r="C81" i="4"/>
  <c r="AQ82" i="3"/>
  <c r="E81" i="4" s="1"/>
  <c r="AQ40" i="3"/>
  <c r="E39" i="4" s="1"/>
  <c r="C39" i="4"/>
  <c r="C50" i="4"/>
  <c r="AQ51" i="3"/>
  <c r="E50" i="4" s="1"/>
  <c r="C156" i="4"/>
  <c r="AQ157" i="3"/>
  <c r="E156" i="4" s="1"/>
  <c r="V121" i="4"/>
  <c r="W121" i="4"/>
  <c r="X121" i="4"/>
  <c r="AY188" i="3"/>
  <c r="AX188" i="3"/>
  <c r="V53" i="4"/>
  <c r="X53" i="4"/>
  <c r="W53" i="4"/>
  <c r="W110" i="4"/>
  <c r="V110" i="4"/>
  <c r="X110" i="4"/>
  <c r="AQ81" i="3"/>
  <c r="E80" i="4" s="1"/>
  <c r="C80" i="4"/>
  <c r="C84" i="4"/>
  <c r="AQ85" i="3"/>
  <c r="E84" i="4" s="1"/>
  <c r="AQ74" i="3"/>
  <c r="E73" i="4" s="1"/>
  <c r="C73" i="4"/>
  <c r="AQ31" i="3"/>
  <c r="E30" i="4" s="1"/>
  <c r="C30" i="4"/>
  <c r="AQ136" i="3"/>
  <c r="E135" i="4" s="1"/>
  <c r="C135" i="4"/>
  <c r="AQ159" i="3"/>
  <c r="E158" i="4" s="1"/>
  <c r="C158" i="4"/>
  <c r="AQ122" i="3"/>
  <c r="E121" i="4" s="1"/>
  <c r="C121" i="4"/>
  <c r="C118" i="4"/>
  <c r="AQ119" i="3"/>
  <c r="E118" i="4" s="1"/>
  <c r="AQ120" i="3"/>
  <c r="E119" i="4" s="1"/>
  <c r="C119" i="4"/>
  <c r="AY218" i="3"/>
  <c r="AX218" i="3"/>
  <c r="H49" i="4"/>
  <c r="AY50" i="3"/>
  <c r="J49" i="4" s="1"/>
  <c r="AX50" i="3"/>
  <c r="I49" i="4" s="1"/>
  <c r="S204" i="4" s="1"/>
  <c r="C72" i="4"/>
  <c r="AQ73" i="3"/>
  <c r="E72" i="4" s="1"/>
  <c r="AX65" i="3"/>
  <c r="I64" i="4" s="1"/>
  <c r="S219" i="4" s="1"/>
  <c r="H64" i="4"/>
  <c r="AY65" i="3"/>
  <c r="J64" i="4" s="1"/>
  <c r="AX183" i="3"/>
  <c r="AY183" i="3"/>
  <c r="AY166" i="3"/>
  <c r="AX166" i="3"/>
  <c r="C139" i="4"/>
  <c r="AQ140" i="3"/>
  <c r="E139" i="4" s="1"/>
  <c r="AX55" i="3"/>
  <c r="I54" i="4" s="1"/>
  <c r="S209" i="4" s="1"/>
  <c r="H54" i="4"/>
  <c r="AY55" i="3"/>
  <c r="J54" i="4" s="1"/>
  <c r="C49" i="4"/>
  <c r="AQ50" i="3"/>
  <c r="E49" i="4" s="1"/>
  <c r="C37" i="4"/>
  <c r="AQ38" i="3"/>
  <c r="E37" i="4" s="1"/>
  <c r="C22" i="4"/>
  <c r="AQ23" i="3"/>
  <c r="E22" i="4" s="1"/>
  <c r="AP88" i="3"/>
  <c r="D87" i="4" s="1"/>
  <c r="S87" i="4" s="1"/>
  <c r="C110" i="4"/>
  <c r="AQ111" i="3"/>
  <c r="E110" i="4" s="1"/>
  <c r="AY190" i="3"/>
  <c r="AX190" i="3"/>
  <c r="AP146" i="3"/>
  <c r="D145" i="4" s="1"/>
  <c r="S145" i="4" s="1"/>
  <c r="C145" i="4"/>
  <c r="AQ146" i="3"/>
  <c r="E145" i="4" s="1"/>
  <c r="C123" i="4"/>
  <c r="AQ124" i="3"/>
  <c r="E123" i="4" s="1"/>
  <c r="AP72" i="3"/>
  <c r="D71" i="4" s="1"/>
  <c r="S71" i="4" s="1"/>
  <c r="AX153" i="3"/>
  <c r="I152" i="4" s="1"/>
  <c r="S307" i="4" s="1"/>
  <c r="H152" i="4"/>
  <c r="AY153" i="3"/>
  <c r="J152" i="4" s="1"/>
  <c r="AQ61" i="3"/>
  <c r="E60" i="4" s="1"/>
  <c r="C60" i="4"/>
  <c r="AY71" i="3"/>
  <c r="J70" i="4" s="1"/>
  <c r="AX71" i="3"/>
  <c r="I70" i="4" s="1"/>
  <c r="S225" i="4" s="1"/>
  <c r="H70" i="4"/>
  <c r="AX173" i="3"/>
  <c r="AY173" i="3"/>
  <c r="AP76" i="3"/>
  <c r="D75" i="4" s="1"/>
  <c r="S75" i="4" s="1"/>
  <c r="H138" i="4"/>
  <c r="AY139" i="3"/>
  <c r="J138" i="4" s="1"/>
  <c r="AX139" i="3"/>
  <c r="I138" i="4" s="1"/>
  <c r="S293" i="4" s="1"/>
  <c r="AP12" i="3"/>
  <c r="D11" i="4" s="1"/>
  <c r="S11" i="4" s="1"/>
  <c r="C29" i="4"/>
  <c r="AQ30" i="3"/>
  <c r="E29" i="4" s="1"/>
  <c r="AX106" i="3"/>
  <c r="I105" i="4" s="1"/>
  <c r="S260" i="4" s="1"/>
  <c r="H105" i="4"/>
  <c r="AY106" i="3"/>
  <c r="J105" i="4" s="1"/>
  <c r="C104" i="4"/>
  <c r="AQ105" i="3"/>
  <c r="E104" i="4" s="1"/>
  <c r="AY176" i="3"/>
  <c r="AX176" i="3"/>
  <c r="AY254" i="3"/>
  <c r="AX254" i="3"/>
  <c r="C46" i="4"/>
  <c r="AQ47" i="3"/>
  <c r="E46" i="4" s="1"/>
  <c r="AY249" i="3"/>
  <c r="AX249" i="3"/>
  <c r="AQ19" i="3"/>
  <c r="E18" i="4" s="1"/>
  <c r="C18" i="4"/>
  <c r="C141" i="4"/>
  <c r="AQ142" i="3"/>
  <c r="E141" i="4" s="1"/>
  <c r="C157" i="4"/>
  <c r="AQ158" i="3"/>
  <c r="E157" i="4" s="1"/>
  <c r="V66" i="4"/>
  <c r="X66" i="4"/>
  <c r="W66" i="4"/>
  <c r="C9" i="4"/>
  <c r="AQ10" i="3"/>
  <c r="E9" i="4" s="1"/>
  <c r="V139" i="4"/>
  <c r="W139" i="4"/>
  <c r="X139" i="4"/>
  <c r="AX12" i="3"/>
  <c r="I11" i="4" s="1"/>
  <c r="S166" i="4" s="1"/>
  <c r="H11" i="4"/>
  <c r="AY12" i="3"/>
  <c r="J11" i="4" s="1"/>
  <c r="W64" i="4"/>
  <c r="V64" i="4"/>
  <c r="X64" i="4"/>
  <c r="C14" i="4"/>
  <c r="AQ15" i="3"/>
  <c r="E14" i="4" s="1"/>
  <c r="AX194" i="3"/>
  <c r="AY194" i="3"/>
  <c r="AP66" i="3"/>
  <c r="D65" i="4" s="1"/>
  <c r="S65" i="4" s="1"/>
  <c r="C65" i="4"/>
  <c r="AQ66" i="3"/>
  <c r="E65" i="4" s="1"/>
  <c r="C132" i="4"/>
  <c r="AQ133" i="3"/>
  <c r="E132" i="4" s="1"/>
  <c r="AP10" i="3"/>
  <c r="X123" i="4"/>
  <c r="V123" i="4"/>
  <c r="W123" i="4"/>
  <c r="X150" i="4"/>
  <c r="W150" i="4"/>
  <c r="V150" i="4"/>
  <c r="AX246" i="3"/>
  <c r="AY246" i="3"/>
  <c r="AX28" i="3"/>
  <c r="I27" i="4" s="1"/>
  <c r="S182" i="4" s="1"/>
  <c r="H27" i="4"/>
  <c r="AY28" i="3"/>
  <c r="J27" i="4" s="1"/>
  <c r="AX229" i="3"/>
  <c r="AY229" i="3"/>
  <c r="C148" i="4"/>
  <c r="AQ149" i="3"/>
  <c r="E148" i="4" s="1"/>
  <c r="AP106" i="3"/>
  <c r="D105" i="4" s="1"/>
  <c r="S105" i="4" s="1"/>
  <c r="C105" i="4"/>
  <c r="AQ106" i="3"/>
  <c r="E105" i="4" s="1"/>
  <c r="AP69" i="3"/>
  <c r="D68" i="4" s="1"/>
  <c r="S68" i="4" s="1"/>
  <c r="AQ69" i="3"/>
  <c r="E68" i="4" s="1"/>
  <c r="C68" i="4"/>
  <c r="AY230" i="3"/>
  <c r="AX230" i="3"/>
  <c r="AX103" i="3"/>
  <c r="I102" i="4" s="1"/>
  <c r="S257" i="4" s="1"/>
  <c r="H102" i="4"/>
  <c r="AY103" i="3"/>
  <c r="J102" i="4" s="1"/>
  <c r="V114" i="4"/>
  <c r="X114" i="4"/>
  <c r="W114" i="4"/>
  <c r="H24" i="4"/>
  <c r="AX25" i="3"/>
  <c r="I24" i="4" s="1"/>
  <c r="S179" i="4" s="1"/>
  <c r="AY25" i="3"/>
  <c r="J24" i="4" s="1"/>
  <c r="C25" i="4"/>
  <c r="AQ26" i="3"/>
  <c r="E25" i="4" s="1"/>
  <c r="AP158" i="3"/>
  <c r="D157" i="4" s="1"/>
  <c r="S157" i="4" s="1"/>
  <c r="AQ160" i="3"/>
  <c r="E159" i="4" s="1"/>
  <c r="C159" i="4"/>
  <c r="AY174" i="3"/>
  <c r="AX174" i="3"/>
  <c r="AX142" i="3"/>
  <c r="I141" i="4" s="1"/>
  <c r="S296" i="4" s="1"/>
  <c r="H141" i="4"/>
  <c r="AY142" i="3"/>
  <c r="J141" i="4" s="1"/>
  <c r="AY120" i="3"/>
  <c r="J119" i="4" s="1"/>
  <c r="AX120" i="3"/>
  <c r="I119" i="4" s="1"/>
  <c r="S274" i="4" s="1"/>
  <c r="H119" i="4"/>
  <c r="H32" i="4"/>
  <c r="AY33" i="3"/>
  <c r="J32" i="4" s="1"/>
  <c r="AX33" i="3"/>
  <c r="I32" i="4" s="1"/>
  <c r="S187" i="4" s="1"/>
  <c r="V12" i="4"/>
  <c r="W12" i="4"/>
  <c r="X12" i="4"/>
  <c r="C42" i="4"/>
  <c r="AQ43" i="3"/>
  <c r="E42" i="4" s="1"/>
  <c r="AX165" i="3"/>
  <c r="AY165" i="3"/>
  <c r="AX160" i="3"/>
  <c r="I159" i="4" s="1"/>
  <c r="S314" i="4" s="1"/>
  <c r="H159" i="4"/>
  <c r="AY160" i="3"/>
  <c r="J159" i="4" s="1"/>
  <c r="W47" i="4"/>
  <c r="X47" i="4"/>
  <c r="V47" i="4"/>
  <c r="V77" i="4"/>
  <c r="X77" i="4"/>
  <c r="W77" i="4"/>
  <c r="X32" i="4"/>
  <c r="W32" i="4"/>
  <c r="V32" i="4"/>
  <c r="AQ145" i="3"/>
  <c r="E144" i="4" s="1"/>
  <c r="C144" i="4"/>
  <c r="V29" i="4"/>
  <c r="W29" i="4"/>
  <c r="X29" i="4"/>
  <c r="AX163" i="3"/>
  <c r="AY163" i="3"/>
  <c r="AQ41" i="3"/>
  <c r="E40" i="4" s="1"/>
  <c r="C40" i="4"/>
  <c r="AY198" i="3"/>
  <c r="AX198" i="3"/>
  <c r="H75" i="4"/>
  <c r="AY76" i="3"/>
  <c r="J75" i="4" s="1"/>
  <c r="AX76" i="3"/>
  <c r="I75" i="4" s="1"/>
  <c r="S230" i="4" s="1"/>
  <c r="AP70" i="3"/>
  <c r="D69" i="4" s="1"/>
  <c r="S69" i="4" s="1"/>
  <c r="C69" i="4"/>
  <c r="AQ70" i="3"/>
  <c r="E69" i="4" s="1"/>
  <c r="AQ129" i="3"/>
  <c r="E128" i="4" s="1"/>
  <c r="C128" i="4"/>
  <c r="AY235" i="3"/>
  <c r="AX235" i="3"/>
  <c r="AY56" i="3"/>
  <c r="J55" i="4" s="1"/>
  <c r="AX56" i="3"/>
  <c r="I55" i="4" s="1"/>
  <c r="S210" i="4" s="1"/>
  <c r="H55" i="4"/>
  <c r="AX260" i="3"/>
  <c r="AY260" i="3"/>
  <c r="C131" i="4"/>
  <c r="AQ132" i="3"/>
  <c r="E131" i="4" s="1"/>
  <c r="W96" i="4"/>
  <c r="X96" i="4"/>
  <c r="V96" i="4"/>
  <c r="C26" i="4"/>
  <c r="AQ27" i="3"/>
  <c r="E26" i="4" s="1"/>
  <c r="AY133" i="3"/>
  <c r="J132" i="4" s="1"/>
  <c r="AX133" i="3"/>
  <c r="I132" i="4" s="1"/>
  <c r="S287" i="4" s="1"/>
  <c r="H132" i="4"/>
  <c r="W49" i="4"/>
  <c r="X49" i="4"/>
  <c r="V49" i="4"/>
  <c r="X91" i="4"/>
  <c r="V91" i="4"/>
  <c r="W91" i="4"/>
  <c r="W30" i="4"/>
  <c r="V30" i="4"/>
  <c r="X30" i="4"/>
  <c r="AX213" i="3"/>
  <c r="AY213" i="3"/>
  <c r="AY143" i="3"/>
  <c r="J142" i="4" s="1"/>
  <c r="AX143" i="3"/>
  <c r="I142" i="4" s="1"/>
  <c r="S297" i="4" s="1"/>
  <c r="H142" i="4"/>
  <c r="AX200" i="3"/>
  <c r="AY200" i="3"/>
  <c r="V23" i="4"/>
  <c r="W23" i="4"/>
  <c r="X23" i="4"/>
  <c r="AQ151" i="3"/>
  <c r="E150" i="4" s="1"/>
  <c r="C150" i="4"/>
  <c r="AY47" i="3"/>
  <c r="J46" i="4" s="1"/>
  <c r="AX47" i="3"/>
  <c r="I46" i="4" s="1"/>
  <c r="S201" i="4" s="1"/>
  <c r="H46" i="4"/>
  <c r="AX267" i="3"/>
  <c r="AY267" i="3"/>
  <c r="H15" i="4"/>
  <c r="AY16" i="3"/>
  <c r="J15" i="4" s="1"/>
  <c r="AX16" i="3"/>
  <c r="I15" i="4" s="1"/>
  <c r="S170" i="4" s="1"/>
  <c r="AQ161" i="3"/>
  <c r="E160" i="4" s="1"/>
  <c r="C160" i="4"/>
  <c r="AY96" i="3"/>
  <c r="J95" i="4" s="1"/>
  <c r="AX96" i="3"/>
  <c r="I95" i="4" s="1"/>
  <c r="S250" i="4" s="1"/>
  <c r="H95" i="4"/>
  <c r="AY9" i="3"/>
  <c r="J8" i="4" s="1"/>
  <c r="AX9" i="3"/>
  <c r="I8" i="4" s="1"/>
  <c r="S163" i="4" s="1"/>
  <c r="H8" i="4"/>
  <c r="W34" i="4"/>
  <c r="X34" i="4"/>
  <c r="V34" i="4"/>
  <c r="AQ150" i="3"/>
  <c r="E149" i="4" s="1"/>
  <c r="C149" i="4"/>
  <c r="AQ35" i="3"/>
  <c r="E34" i="4" s="1"/>
  <c r="C34" i="4"/>
  <c r="AX91" i="3"/>
  <c r="I90" i="4" s="1"/>
  <c r="S245" i="4" s="1"/>
  <c r="H90" i="4"/>
  <c r="AY91" i="3"/>
  <c r="J90" i="4" s="1"/>
  <c r="H112" i="4"/>
  <c r="AY113" i="3"/>
  <c r="J112" i="4" s="1"/>
  <c r="AX113" i="3"/>
  <c r="I112" i="4" s="1"/>
  <c r="S267" i="4" s="1"/>
  <c r="AX61" i="3"/>
  <c r="I60" i="4" s="1"/>
  <c r="S215" i="4" s="1"/>
  <c r="AY61" i="3"/>
  <c r="J60" i="4" s="1"/>
  <c r="H60" i="4"/>
  <c r="AY26" i="3"/>
  <c r="J25" i="4" s="1"/>
  <c r="AX26" i="3"/>
  <c r="I25" i="4" s="1"/>
  <c r="S180" i="4" s="1"/>
  <c r="H25" i="4"/>
  <c r="W127" i="4"/>
  <c r="V127" i="4"/>
  <c r="X127" i="4"/>
  <c r="H137" i="4"/>
  <c r="AX138" i="3"/>
  <c r="I137" i="4" s="1"/>
  <c r="S292" i="4" s="1"/>
  <c r="AY138" i="3"/>
  <c r="J137" i="4" s="1"/>
  <c r="AX220" i="3"/>
  <c r="AY220" i="3"/>
  <c r="X31" i="4"/>
  <c r="W31" i="4"/>
  <c r="V31" i="4"/>
  <c r="AY67" i="3"/>
  <c r="J66" i="4" s="1"/>
  <c r="AX67" i="3"/>
  <c r="I66" i="4" s="1"/>
  <c r="S221" i="4" s="1"/>
  <c r="H66" i="4"/>
  <c r="AY209" i="3"/>
  <c r="AX209" i="3"/>
  <c r="AQ152" i="3"/>
  <c r="E151" i="4" s="1"/>
  <c r="C151" i="4"/>
  <c r="AX92" i="3"/>
  <c r="I91" i="4" s="1"/>
  <c r="S246" i="4" s="1"/>
  <c r="AY92" i="3"/>
  <c r="J91" i="4" s="1"/>
  <c r="H91" i="4"/>
  <c r="AQ32" i="3"/>
  <c r="E31" i="4" s="1"/>
  <c r="C31" i="4"/>
  <c r="AY162" i="3"/>
  <c r="AX162" i="3"/>
  <c r="C79" i="4"/>
  <c r="AQ80" i="3"/>
  <c r="E79" i="4" s="1"/>
  <c r="X113" i="4"/>
  <c r="V113" i="4"/>
  <c r="W113" i="4"/>
  <c r="AQ67" i="3"/>
  <c r="E66" i="4" s="1"/>
  <c r="C66" i="4"/>
  <c r="V158" i="4"/>
  <c r="W158" i="4"/>
  <c r="X158" i="4"/>
  <c r="C90" i="4"/>
  <c r="AQ91" i="3"/>
  <c r="E90" i="4" s="1"/>
  <c r="AY147" i="3"/>
  <c r="J146" i="4" s="1"/>
  <c r="AX147" i="3"/>
  <c r="I146" i="4" s="1"/>
  <c r="S301" i="4" s="1"/>
  <c r="H146" i="4"/>
  <c r="X27" i="4"/>
  <c r="W27" i="4"/>
  <c r="V27" i="4"/>
  <c r="AY214" i="3"/>
  <c r="AX214" i="3"/>
  <c r="H77" i="4"/>
  <c r="AY78" i="3"/>
  <c r="J77" i="4" s="1"/>
  <c r="AX78" i="3"/>
  <c r="I77" i="4" s="1"/>
  <c r="S232" i="4" s="1"/>
  <c r="C133" i="4"/>
  <c r="AQ134" i="3"/>
  <c r="E133" i="4" s="1"/>
  <c r="AP107" i="3"/>
  <c r="D106" i="4" s="1"/>
  <c r="S106" i="4" s="1"/>
  <c r="C106" i="4"/>
  <c r="AQ107" i="3"/>
  <c r="E106" i="4" s="1"/>
  <c r="AX18" i="3"/>
  <c r="I17" i="4" s="1"/>
  <c r="S172" i="4" s="1"/>
  <c r="H17" i="4"/>
  <c r="AY243" i="3"/>
  <c r="AX243" i="3"/>
  <c r="AY226" i="3"/>
  <c r="AX226" i="3"/>
  <c r="AX237" i="3"/>
  <c r="AY237" i="3"/>
  <c r="AX17" i="3"/>
  <c r="I16" i="4" s="1"/>
  <c r="S171" i="4" s="1"/>
  <c r="H16" i="4"/>
  <c r="AX182" i="3"/>
  <c r="AY182" i="3"/>
  <c r="AQ20" i="3"/>
  <c r="E19" i="4" s="1"/>
  <c r="C19" i="4"/>
  <c r="AX148" i="3"/>
  <c r="I147" i="4" s="1"/>
  <c r="S302" i="4" s="1"/>
  <c r="H147" i="4"/>
  <c r="AY148" i="3"/>
  <c r="J147" i="4" s="1"/>
  <c r="AP264" i="3"/>
  <c r="C113" i="4"/>
  <c r="AQ114" i="3"/>
  <c r="E113" i="4" s="1"/>
  <c r="AX255" i="3"/>
  <c r="AY255" i="3"/>
  <c r="AX90" i="3"/>
  <c r="I89" i="4" s="1"/>
  <c r="S244" i="4" s="1"/>
  <c r="H89" i="4"/>
  <c r="AY90" i="3"/>
  <c r="J89" i="4" s="1"/>
  <c r="AX275" i="3"/>
  <c r="AY275" i="3"/>
  <c r="AQ22" i="3"/>
  <c r="E21" i="4" s="1"/>
  <c r="C21" i="4"/>
  <c r="H155" i="4"/>
  <c r="AY156" i="3"/>
  <c r="J155" i="4" s="1"/>
  <c r="AX156" i="3"/>
  <c r="I155" i="4" s="1"/>
  <c r="S310" i="4" s="1"/>
  <c r="AP80" i="3"/>
  <c r="D79" i="4" s="1"/>
  <c r="S79" i="4" s="1"/>
  <c r="AY247" i="3"/>
  <c r="AX247" i="3"/>
  <c r="H47" i="4"/>
  <c r="AY48" i="3"/>
  <c r="J47" i="4" s="1"/>
  <c r="AX48" i="3"/>
  <c r="I47" i="4" s="1"/>
  <c r="S202" i="4" s="1"/>
  <c r="E9" i="5"/>
  <c r="BO13" i="3"/>
  <c r="BP13" i="3" s="1"/>
  <c r="BO14" i="3"/>
  <c r="BP14" i="3" s="1"/>
  <c r="AC14" i="3" s="1"/>
  <c r="E13" i="5" s="1"/>
  <c r="BO12" i="3"/>
  <c r="BP12" i="3" s="1"/>
  <c r="BO11" i="3"/>
  <c r="BP11" i="3" s="1"/>
  <c r="N38" i="8"/>
  <c r="P6" i="8"/>
  <c r="F201" i="8"/>
  <c r="D201" i="8"/>
  <c r="S47" i="8" s="1"/>
  <c r="BT14" i="3"/>
  <c r="BT8" i="3"/>
  <c r="BT17" i="3"/>
  <c r="BT13" i="3"/>
  <c r="AI39" i="3"/>
  <c r="J38" i="5" s="1"/>
  <c r="BT19" i="3"/>
  <c r="AE39" i="3"/>
  <c r="X40" i="3"/>
  <c r="H201" i="8"/>
  <c r="BT11" i="3"/>
  <c r="BT9" i="3"/>
  <c r="A41" i="8"/>
  <c r="A41" i="5"/>
  <c r="E38" i="8"/>
  <c r="G38" i="8" s="1"/>
  <c r="W199" i="8"/>
  <c r="O2" i="8" s="1"/>
  <c r="BT12" i="3"/>
  <c r="BT20" i="3"/>
  <c r="AI20" i="3" s="1"/>
  <c r="BT15" i="3"/>
  <c r="Y43" i="3"/>
  <c r="W44" i="3"/>
  <c r="M201" i="8"/>
  <c r="G6" i="8"/>
  <c r="AC39" i="3"/>
  <c r="E38" i="5" s="1"/>
  <c r="BT18" i="3"/>
  <c r="BT10" i="3"/>
  <c r="BT16" i="3"/>
  <c r="J37" i="8"/>
  <c r="F37" i="5"/>
  <c r="E201" i="8" l="1"/>
  <c r="P38" i="8"/>
  <c r="V79" i="4"/>
  <c r="W79" i="4"/>
  <c r="X79" i="4"/>
  <c r="V180" i="4"/>
  <c r="W180" i="4"/>
  <c r="X180" i="4"/>
  <c r="V210" i="4"/>
  <c r="X210" i="4"/>
  <c r="W210" i="4"/>
  <c r="V167" i="4"/>
  <c r="X167" i="4"/>
  <c r="W167" i="4"/>
  <c r="X117" i="4"/>
  <c r="W117" i="4"/>
  <c r="V117" i="4"/>
  <c r="X294" i="4"/>
  <c r="W294" i="4"/>
  <c r="V294" i="4"/>
  <c r="W271" i="4"/>
  <c r="X271" i="4"/>
  <c r="V271" i="4"/>
  <c r="X263" i="4"/>
  <c r="W263" i="4"/>
  <c r="V263" i="4"/>
  <c r="W111" i="4"/>
  <c r="X111" i="4"/>
  <c r="V111" i="4"/>
  <c r="BO22" i="3"/>
  <c r="BP22" i="3" s="1"/>
  <c r="W301" i="4"/>
  <c r="X301" i="4"/>
  <c r="V301" i="4"/>
  <c r="W293" i="4"/>
  <c r="X293" i="4"/>
  <c r="V293" i="4"/>
  <c r="X45" i="4"/>
  <c r="W45" i="4"/>
  <c r="V45" i="4"/>
  <c r="W277" i="4"/>
  <c r="X277" i="4"/>
  <c r="V277" i="4"/>
  <c r="V13" i="4"/>
  <c r="W13" i="4"/>
  <c r="X13" i="4"/>
  <c r="V222" i="4"/>
  <c r="X222" i="4"/>
  <c r="W222" i="4"/>
  <c r="V279" i="4"/>
  <c r="W279" i="4"/>
  <c r="X279" i="4"/>
  <c r="V298" i="4"/>
  <c r="X298" i="4"/>
  <c r="W298" i="4"/>
  <c r="W213" i="4"/>
  <c r="V213" i="4"/>
  <c r="X213" i="4"/>
  <c r="V152" i="4"/>
  <c r="X152" i="4"/>
  <c r="W152" i="4"/>
  <c r="W186" i="4"/>
  <c r="X186" i="4"/>
  <c r="V186" i="4"/>
  <c r="V276" i="4"/>
  <c r="X276" i="4"/>
  <c r="W276" i="4"/>
  <c r="BO31" i="3"/>
  <c r="BP31" i="3" s="1"/>
  <c r="BO18" i="3"/>
  <c r="BP18" i="3" s="1"/>
  <c r="BO17" i="3"/>
  <c r="BP17" i="3" s="1"/>
  <c r="X310" i="4"/>
  <c r="V310" i="4"/>
  <c r="W310" i="4"/>
  <c r="W171" i="4"/>
  <c r="X171" i="4"/>
  <c r="V171" i="4"/>
  <c r="V172" i="4"/>
  <c r="X172" i="4"/>
  <c r="W172" i="4"/>
  <c r="X267" i="4"/>
  <c r="W267" i="4"/>
  <c r="V267" i="4"/>
  <c r="V230" i="4"/>
  <c r="W230" i="4"/>
  <c r="X230" i="4"/>
  <c r="X182" i="4"/>
  <c r="V182" i="4"/>
  <c r="W182" i="4"/>
  <c r="X166" i="4"/>
  <c r="V166" i="4"/>
  <c r="W166" i="4"/>
  <c r="W307" i="4"/>
  <c r="X307" i="4"/>
  <c r="V307" i="4"/>
  <c r="X209" i="4"/>
  <c r="V209" i="4"/>
  <c r="W209" i="4"/>
  <c r="W204" i="4"/>
  <c r="V204" i="4"/>
  <c r="X204" i="4"/>
  <c r="V281" i="4"/>
  <c r="X281" i="4"/>
  <c r="W281" i="4"/>
  <c r="V243" i="4"/>
  <c r="X243" i="4"/>
  <c r="W243" i="4"/>
  <c r="X255" i="4"/>
  <c r="W255" i="4"/>
  <c r="V255" i="4"/>
  <c r="V189" i="4"/>
  <c r="X189" i="4"/>
  <c r="W189" i="4"/>
  <c r="V130" i="4"/>
  <c r="W130" i="4"/>
  <c r="X130" i="4"/>
  <c r="W208" i="4"/>
  <c r="V208" i="4"/>
  <c r="X208" i="4"/>
  <c r="V227" i="4"/>
  <c r="W227" i="4"/>
  <c r="X227" i="4"/>
  <c r="X175" i="4"/>
  <c r="W175" i="4"/>
  <c r="V175" i="4"/>
  <c r="W136" i="4"/>
  <c r="V136" i="4"/>
  <c r="X136" i="4"/>
  <c r="W70" i="4"/>
  <c r="V70" i="4"/>
  <c r="X70" i="4"/>
  <c r="W177" i="4"/>
  <c r="X177" i="4"/>
  <c r="V177" i="4"/>
  <c r="W272" i="4"/>
  <c r="X272" i="4"/>
  <c r="V272" i="4"/>
  <c r="W205" i="4"/>
  <c r="V205" i="4"/>
  <c r="X205" i="4"/>
  <c r="X249" i="4"/>
  <c r="V249" i="4"/>
  <c r="W249" i="4"/>
  <c r="V223" i="4"/>
  <c r="X223" i="4"/>
  <c r="W223" i="4"/>
  <c r="W241" i="4"/>
  <c r="X241" i="4"/>
  <c r="V241" i="4"/>
  <c r="AS8" i="3"/>
  <c r="AS9" i="3" s="1"/>
  <c r="AS10" i="3" s="1"/>
  <c r="X138" i="4"/>
  <c r="W138" i="4"/>
  <c r="V138" i="4"/>
  <c r="W256" i="4"/>
  <c r="X256" i="4"/>
  <c r="V256" i="4"/>
  <c r="V107" i="4"/>
  <c r="X107" i="4"/>
  <c r="W107" i="4"/>
  <c r="V278" i="4"/>
  <c r="X278" i="4"/>
  <c r="W278" i="4"/>
  <c r="W57" i="4"/>
  <c r="V57" i="4"/>
  <c r="X57" i="4"/>
  <c r="X273" i="4"/>
  <c r="W273" i="4"/>
  <c r="V273" i="4"/>
  <c r="X251" i="4"/>
  <c r="W251" i="4"/>
  <c r="V251" i="4"/>
  <c r="V51" i="4"/>
  <c r="W51" i="4"/>
  <c r="X51" i="4"/>
  <c r="X303" i="4"/>
  <c r="V303" i="4"/>
  <c r="W303" i="4"/>
  <c r="W288" i="4"/>
  <c r="V288" i="4"/>
  <c r="X288" i="4"/>
  <c r="W283" i="4"/>
  <c r="V283" i="4"/>
  <c r="X283" i="4"/>
  <c r="V291" i="4"/>
  <c r="W291" i="4"/>
  <c r="X291" i="4"/>
  <c r="W197" i="4"/>
  <c r="X197" i="4"/>
  <c r="V197" i="4"/>
  <c r="X286" i="4"/>
  <c r="V286" i="4"/>
  <c r="W286" i="4"/>
  <c r="V290" i="4"/>
  <c r="X290" i="4"/>
  <c r="W290" i="4"/>
  <c r="V304" i="4"/>
  <c r="X304" i="4"/>
  <c r="W304" i="4"/>
  <c r="X92" i="4"/>
  <c r="W92" i="4"/>
  <c r="V92" i="4"/>
  <c r="X299" i="4"/>
  <c r="V299" i="4"/>
  <c r="W299" i="4"/>
  <c r="V48" i="4"/>
  <c r="X48" i="4"/>
  <c r="W48" i="4"/>
  <c r="X74" i="4"/>
  <c r="W74" i="4"/>
  <c r="V74" i="4"/>
  <c r="W229" i="4"/>
  <c r="X229" i="4"/>
  <c r="V229" i="4"/>
  <c r="V198" i="4"/>
  <c r="X198" i="4"/>
  <c r="W198" i="4"/>
  <c r="X224" i="4"/>
  <c r="V224" i="4"/>
  <c r="W224" i="4"/>
  <c r="W195" i="4"/>
  <c r="V195" i="4"/>
  <c r="X195" i="4"/>
  <c r="W246" i="4"/>
  <c r="V246" i="4"/>
  <c r="X246" i="4"/>
  <c r="X287" i="4"/>
  <c r="V287" i="4"/>
  <c r="W287" i="4"/>
  <c r="V154" i="4"/>
  <c r="W154" i="4"/>
  <c r="X154" i="4"/>
  <c r="V258" i="4"/>
  <c r="X258" i="4"/>
  <c r="W258" i="4"/>
  <c r="W311" i="4"/>
  <c r="X311" i="4"/>
  <c r="V311" i="4"/>
  <c r="X115" i="4"/>
  <c r="V115" i="4"/>
  <c r="W115" i="4"/>
  <c r="X217" i="4"/>
  <c r="W217" i="4"/>
  <c r="V217" i="4"/>
  <c r="V200" i="4"/>
  <c r="W200" i="4"/>
  <c r="X200" i="4"/>
  <c r="X184" i="4"/>
  <c r="W184" i="4"/>
  <c r="V184" i="4"/>
  <c r="X28" i="4"/>
  <c r="W28" i="4"/>
  <c r="V28" i="4"/>
  <c r="BO15" i="3"/>
  <c r="BP15" i="3" s="1"/>
  <c r="BO26" i="3"/>
  <c r="BP26" i="3" s="1"/>
  <c r="BO20" i="3"/>
  <c r="BP20" i="3" s="1"/>
  <c r="BO27" i="3"/>
  <c r="BP27" i="3" s="1"/>
  <c r="X244" i="4"/>
  <c r="W244" i="4"/>
  <c r="V244" i="4"/>
  <c r="W302" i="4"/>
  <c r="X302" i="4"/>
  <c r="V302" i="4"/>
  <c r="W221" i="4"/>
  <c r="X221" i="4"/>
  <c r="V221" i="4"/>
  <c r="X292" i="4"/>
  <c r="W292" i="4"/>
  <c r="V292" i="4"/>
  <c r="V245" i="4"/>
  <c r="W245" i="4"/>
  <c r="X245" i="4"/>
  <c r="W250" i="4"/>
  <c r="V250" i="4"/>
  <c r="X250" i="4"/>
  <c r="V170" i="4"/>
  <c r="X170" i="4"/>
  <c r="W170" i="4"/>
  <c r="X297" i="4"/>
  <c r="W297" i="4"/>
  <c r="V297" i="4"/>
  <c r="V314" i="4"/>
  <c r="W314" i="4"/>
  <c r="X314" i="4"/>
  <c r="X187" i="4"/>
  <c r="W187" i="4"/>
  <c r="V187" i="4"/>
  <c r="X274" i="4"/>
  <c r="V274" i="4"/>
  <c r="W274" i="4"/>
  <c r="V296" i="4"/>
  <c r="X296" i="4"/>
  <c r="W296" i="4"/>
  <c r="X257" i="4"/>
  <c r="V257" i="4"/>
  <c r="W257" i="4"/>
  <c r="V105" i="4"/>
  <c r="W105" i="4"/>
  <c r="X105" i="4"/>
  <c r="D9" i="4"/>
  <c r="S9" i="4" s="1"/>
  <c r="BF91" i="3"/>
  <c r="BF201" i="3"/>
  <c r="BF13" i="3"/>
  <c r="BF269" i="3"/>
  <c r="BF205" i="3"/>
  <c r="BF146" i="3"/>
  <c r="BF229" i="3"/>
  <c r="BF106" i="3"/>
  <c r="BF97" i="3"/>
  <c r="BF195" i="3"/>
  <c r="BF211" i="3"/>
  <c r="BF54" i="3"/>
  <c r="BF185" i="3"/>
  <c r="BF181" i="3"/>
  <c r="BF186" i="3"/>
  <c r="BF92" i="3"/>
  <c r="BF136" i="3"/>
  <c r="BF95" i="3"/>
  <c r="BF41" i="3"/>
  <c r="BF23" i="3"/>
  <c r="BF120" i="3"/>
  <c r="BF139" i="3"/>
  <c r="BF101" i="3"/>
  <c r="BF234" i="3"/>
  <c r="BF231" i="3"/>
  <c r="BF70" i="3"/>
  <c r="BF271" i="3"/>
  <c r="BF58" i="3"/>
  <c r="BF31" i="3"/>
  <c r="BF168" i="3"/>
  <c r="BF73" i="3"/>
  <c r="BF143" i="3"/>
  <c r="BF147" i="3"/>
  <c r="BF28" i="3"/>
  <c r="BF138" i="3"/>
  <c r="BF99" i="3"/>
  <c r="BF243" i="3"/>
  <c r="BF170" i="3"/>
  <c r="BF60" i="3"/>
  <c r="BF250" i="3"/>
  <c r="BF210" i="3"/>
  <c r="BF233" i="3"/>
  <c r="BF203" i="3"/>
  <c r="BF17" i="3"/>
  <c r="BF198" i="3"/>
  <c r="BF87" i="3"/>
  <c r="BF253" i="3"/>
  <c r="BF155" i="3"/>
  <c r="BF213" i="3"/>
  <c r="BF126" i="3"/>
  <c r="BF56" i="3"/>
  <c r="BF223" i="3"/>
  <c r="BF268" i="3"/>
  <c r="BF61" i="3"/>
  <c r="BF178" i="3"/>
  <c r="BF117" i="3"/>
  <c r="BF47" i="3"/>
  <c r="BF38" i="3"/>
  <c r="BF111" i="3"/>
  <c r="BF20" i="3"/>
  <c r="BF275" i="3"/>
  <c r="BF59" i="3"/>
  <c r="BF187" i="3"/>
  <c r="BF63" i="3"/>
  <c r="BF69" i="3"/>
  <c r="BF116" i="3"/>
  <c r="BF156" i="3"/>
  <c r="BF11" i="3"/>
  <c r="BF110" i="3"/>
  <c r="BF27" i="3"/>
  <c r="BF32" i="3"/>
  <c r="BF22" i="3"/>
  <c r="BF152" i="3"/>
  <c r="BF245" i="3"/>
  <c r="BF232" i="3"/>
  <c r="BF196" i="3"/>
  <c r="BF107" i="3"/>
  <c r="BF108" i="3"/>
  <c r="BF190" i="3"/>
  <c r="BF177" i="3"/>
  <c r="BF260" i="3"/>
  <c r="BF94" i="3"/>
  <c r="BF169" i="3"/>
  <c r="BF72" i="3"/>
  <c r="BF35" i="3"/>
  <c r="BF144" i="3"/>
  <c r="BF262" i="3"/>
  <c r="BF212" i="3"/>
  <c r="BF18" i="3"/>
  <c r="AQ18" i="3" s="1"/>
  <c r="E17" i="4" s="1"/>
  <c r="BF242" i="3"/>
  <c r="BF183" i="3"/>
  <c r="BF45" i="3"/>
  <c r="BF217" i="3"/>
  <c r="BF171" i="3"/>
  <c r="BF79" i="3"/>
  <c r="BF188" i="3"/>
  <c r="BF14" i="3"/>
  <c r="BF39" i="3"/>
  <c r="BF93" i="3"/>
  <c r="BF244" i="3"/>
  <c r="BF248" i="3"/>
  <c r="BF207" i="3"/>
  <c r="BF226" i="3"/>
  <c r="BF202" i="3"/>
  <c r="BF128" i="3"/>
  <c r="BF15" i="3"/>
  <c r="BF251" i="3"/>
  <c r="BF104" i="3"/>
  <c r="BF227" i="3"/>
  <c r="BF193" i="3"/>
  <c r="BF239" i="3"/>
  <c r="BF65" i="3"/>
  <c r="BF214" i="3"/>
  <c r="BF130" i="3"/>
  <c r="BF64" i="3"/>
  <c r="BF176" i="3"/>
  <c r="BF200" i="3"/>
  <c r="BF96" i="3"/>
  <c r="BF197" i="3"/>
  <c r="BF228" i="3"/>
  <c r="BF88" i="3"/>
  <c r="BF10" i="3"/>
  <c r="BF256" i="3"/>
  <c r="BF134" i="3"/>
  <c r="BF154" i="3"/>
  <c r="BF124" i="3"/>
  <c r="BF133" i="3"/>
  <c r="BF42" i="3"/>
  <c r="BF265" i="3"/>
  <c r="BF100" i="3"/>
  <c r="BF184" i="3"/>
  <c r="BF238" i="3"/>
  <c r="BF118" i="3"/>
  <c r="BF50" i="3"/>
  <c r="BF135" i="3"/>
  <c r="BF53" i="3"/>
  <c r="BF76" i="3"/>
  <c r="BF237" i="3"/>
  <c r="BF206" i="3"/>
  <c r="BF129" i="3"/>
  <c r="BF75" i="3"/>
  <c r="BF236" i="3"/>
  <c r="BF220" i="3"/>
  <c r="BF218" i="3"/>
  <c r="BF173" i="3"/>
  <c r="BF166" i="3"/>
  <c r="BF36" i="3"/>
  <c r="BF125" i="3"/>
  <c r="BF261" i="3"/>
  <c r="BF21" i="3"/>
  <c r="BF163" i="3"/>
  <c r="BF127" i="3"/>
  <c r="BF66" i="3"/>
  <c r="BF109" i="3"/>
  <c r="BF40" i="3"/>
  <c r="BF46" i="3"/>
  <c r="BF189" i="3"/>
  <c r="BF192" i="3"/>
  <c r="BF179" i="3"/>
  <c r="BF172" i="3"/>
  <c r="BF34" i="3"/>
  <c r="BF157" i="3"/>
  <c r="BF259" i="3"/>
  <c r="BF164" i="3"/>
  <c r="BF89" i="3"/>
  <c r="BF263" i="3"/>
  <c r="BF249" i="3"/>
  <c r="BF161" i="3"/>
  <c r="BF140" i="3"/>
  <c r="BF224" i="3"/>
  <c r="BF85" i="3"/>
  <c r="BF150" i="3"/>
  <c r="BF51" i="3"/>
  <c r="BF119" i="3"/>
  <c r="BF29" i="3"/>
  <c r="BF44" i="3"/>
  <c r="BF113" i="3"/>
  <c r="BF222" i="3"/>
  <c r="BF216" i="3"/>
  <c r="BF98" i="3"/>
  <c r="BF272" i="3"/>
  <c r="BF241" i="3"/>
  <c r="BF257" i="3"/>
  <c r="BF142" i="3"/>
  <c r="BF86" i="3"/>
  <c r="BF115" i="3"/>
  <c r="BF246" i="3"/>
  <c r="BF141" i="3"/>
  <c r="BF160" i="3"/>
  <c r="BF52" i="3"/>
  <c r="BF78" i="3"/>
  <c r="BF25" i="3"/>
  <c r="BF221" i="3"/>
  <c r="BF102" i="3"/>
  <c r="BF149" i="3"/>
  <c r="BF254" i="3"/>
  <c r="BF145" i="3"/>
  <c r="BF182" i="3"/>
  <c r="BF273" i="3"/>
  <c r="BF105" i="3"/>
  <c r="BF219" i="3"/>
  <c r="BF30" i="3"/>
  <c r="BF43" i="3"/>
  <c r="BF131" i="3"/>
  <c r="BF267" i="3"/>
  <c r="BF235" i="3"/>
  <c r="BF132" i="3"/>
  <c r="BF158" i="3"/>
  <c r="BF37" i="3"/>
  <c r="BF230" i="3"/>
  <c r="BF67" i="3"/>
  <c r="BF19" i="3"/>
  <c r="BF255" i="3"/>
  <c r="BF274" i="3"/>
  <c r="BF114" i="3"/>
  <c r="BF83" i="3"/>
  <c r="BF208" i="3"/>
  <c r="BF266" i="3"/>
  <c r="BF151" i="3"/>
  <c r="BF121" i="3"/>
  <c r="BF26" i="3"/>
  <c r="BF90" i="3"/>
  <c r="BF270" i="3"/>
  <c r="BF148" i="3"/>
  <c r="BF12" i="3"/>
  <c r="BF225" i="3"/>
  <c r="BF55" i="3"/>
  <c r="BF57" i="3"/>
  <c r="BF159" i="3"/>
  <c r="BF175" i="3"/>
  <c r="BF112" i="3"/>
  <c r="BF191" i="3"/>
  <c r="BF137" i="3"/>
  <c r="BF77" i="3"/>
  <c r="BF153" i="3"/>
  <c r="BF174" i="3"/>
  <c r="BF165" i="3"/>
  <c r="BF162" i="3"/>
  <c r="BF199" i="3"/>
  <c r="BF48" i="3"/>
  <c r="BF71" i="3"/>
  <c r="BF240" i="3"/>
  <c r="BF82" i="3"/>
  <c r="BF194" i="3"/>
  <c r="BF80" i="3"/>
  <c r="BF74" i="3"/>
  <c r="BF264" i="3"/>
  <c r="BF204" i="3"/>
  <c r="BF167" i="3"/>
  <c r="BF209" i="3"/>
  <c r="BF103" i="3"/>
  <c r="BF24" i="3"/>
  <c r="BF123" i="3"/>
  <c r="BF68" i="3"/>
  <c r="BF252" i="3"/>
  <c r="BF16" i="3"/>
  <c r="BF49" i="3"/>
  <c r="BF33" i="3"/>
  <c r="BF62" i="3"/>
  <c r="BF258" i="3"/>
  <c r="BF180" i="3"/>
  <c r="BF247" i="3"/>
  <c r="BF84" i="3"/>
  <c r="BF122" i="3"/>
  <c r="BF215" i="3"/>
  <c r="BF81" i="3"/>
  <c r="X71" i="4"/>
  <c r="V71" i="4"/>
  <c r="W71" i="4"/>
  <c r="V219" i="4"/>
  <c r="W219" i="4"/>
  <c r="X219" i="4"/>
  <c r="W282" i="4"/>
  <c r="X282" i="4"/>
  <c r="V282" i="4"/>
  <c r="V55" i="4"/>
  <c r="X55" i="4"/>
  <c r="W55" i="4"/>
  <c r="V54" i="4"/>
  <c r="X54" i="4"/>
  <c r="W54" i="4"/>
  <c r="V312" i="4"/>
  <c r="W312" i="4"/>
  <c r="X312" i="4"/>
  <c r="V236" i="4"/>
  <c r="X236" i="4"/>
  <c r="W236" i="4"/>
  <c r="V97" i="4"/>
  <c r="W97" i="4"/>
  <c r="X97" i="4"/>
  <c r="X24" i="4"/>
  <c r="V24" i="4"/>
  <c r="W24" i="4"/>
  <c r="W63" i="4"/>
  <c r="X63" i="4"/>
  <c r="V63" i="4"/>
  <c r="W146" i="4"/>
  <c r="X146" i="4"/>
  <c r="V146" i="4"/>
  <c r="X52" i="4"/>
  <c r="V52" i="4"/>
  <c r="W52" i="4"/>
  <c r="V102" i="4"/>
  <c r="X102" i="4"/>
  <c r="W102" i="4"/>
  <c r="V306" i="4"/>
  <c r="X306" i="4"/>
  <c r="W306" i="4"/>
  <c r="X305" i="4"/>
  <c r="V305" i="4"/>
  <c r="W305" i="4"/>
  <c r="W261" i="4"/>
  <c r="X261" i="4"/>
  <c r="V261" i="4"/>
  <c r="W265" i="4"/>
  <c r="V265" i="4"/>
  <c r="X265" i="4"/>
  <c r="W196" i="4"/>
  <c r="V196" i="4"/>
  <c r="X196" i="4"/>
  <c r="X228" i="4"/>
  <c r="V228" i="4"/>
  <c r="W228" i="4"/>
  <c r="V269" i="4"/>
  <c r="W269" i="4"/>
  <c r="X269" i="4"/>
  <c r="X308" i="4"/>
  <c r="V308" i="4"/>
  <c r="W308" i="4"/>
  <c r="BK9" i="3"/>
  <c r="J6" i="4"/>
  <c r="BK11" i="3"/>
  <c r="BK8" i="3"/>
  <c r="BK10" i="3"/>
  <c r="X237" i="4"/>
  <c r="W237" i="4"/>
  <c r="V237" i="4"/>
  <c r="V181" i="4"/>
  <c r="X181" i="4"/>
  <c r="W181" i="4"/>
  <c r="X231" i="4"/>
  <c r="V231" i="4"/>
  <c r="W231" i="4"/>
  <c r="X235" i="4"/>
  <c r="W235" i="4"/>
  <c r="V235" i="4"/>
  <c r="V254" i="4"/>
  <c r="X254" i="4"/>
  <c r="W254" i="4"/>
  <c r="W206" i="4"/>
  <c r="V206" i="4"/>
  <c r="X206" i="4"/>
  <c r="V220" i="4"/>
  <c r="X220" i="4"/>
  <c r="W220" i="4"/>
  <c r="V183" i="4"/>
  <c r="W183" i="4"/>
  <c r="X183" i="4"/>
  <c r="X194" i="4"/>
  <c r="V194" i="4"/>
  <c r="W194" i="4"/>
  <c r="W289" i="4"/>
  <c r="X289" i="4"/>
  <c r="V289" i="4"/>
  <c r="V193" i="4"/>
  <c r="W193" i="4"/>
  <c r="X193" i="4"/>
  <c r="W173" i="4"/>
  <c r="X173" i="4"/>
  <c r="V173" i="4"/>
  <c r="W20" i="4"/>
  <c r="V20" i="4"/>
  <c r="X20" i="4"/>
  <c r="W239" i="4"/>
  <c r="V239" i="4"/>
  <c r="X239" i="4"/>
  <c r="W264" i="4"/>
  <c r="X264" i="4"/>
  <c r="V264" i="4"/>
  <c r="V98" i="4"/>
  <c r="X98" i="4"/>
  <c r="W98" i="4"/>
  <c r="W124" i="4"/>
  <c r="V124" i="4"/>
  <c r="X124" i="4"/>
  <c r="X192" i="4"/>
  <c r="W192" i="4"/>
  <c r="V192" i="4"/>
  <c r="X153" i="4"/>
  <c r="W153" i="4"/>
  <c r="V153" i="4"/>
  <c r="BO30" i="3"/>
  <c r="BP30" i="3" s="1"/>
  <c r="BO32" i="3"/>
  <c r="BP32" i="3" s="1"/>
  <c r="V106" i="4"/>
  <c r="W106" i="4"/>
  <c r="X106" i="4"/>
  <c r="W215" i="4"/>
  <c r="V215" i="4"/>
  <c r="X215" i="4"/>
  <c r="V201" i="4"/>
  <c r="X201" i="4"/>
  <c r="W201" i="4"/>
  <c r="X69" i="4"/>
  <c r="V69" i="4"/>
  <c r="W69" i="4"/>
  <c r="V260" i="4"/>
  <c r="W260" i="4"/>
  <c r="X260" i="4"/>
  <c r="W87" i="4"/>
  <c r="V87" i="4"/>
  <c r="X87" i="4"/>
  <c r="V266" i="4"/>
  <c r="X266" i="4"/>
  <c r="W266" i="4"/>
  <c r="W252" i="4"/>
  <c r="X252" i="4"/>
  <c r="V252" i="4"/>
  <c r="W94" i="4"/>
  <c r="X94" i="4"/>
  <c r="V94" i="4"/>
  <c r="V185" i="4"/>
  <c r="W185" i="4"/>
  <c r="X185" i="4"/>
  <c r="W62" i="4"/>
  <c r="V62" i="4"/>
  <c r="X62" i="4"/>
  <c r="V309" i="4"/>
  <c r="X309" i="4"/>
  <c r="W309" i="4"/>
  <c r="X259" i="4"/>
  <c r="V259" i="4"/>
  <c r="W259" i="4"/>
  <c r="W211" i="4"/>
  <c r="V211" i="4"/>
  <c r="X211" i="4"/>
  <c r="V207" i="4"/>
  <c r="X207" i="4"/>
  <c r="W207" i="4"/>
  <c r="X100" i="4"/>
  <c r="V100" i="4"/>
  <c r="W100" i="4"/>
  <c r="V174" i="4"/>
  <c r="W174" i="4"/>
  <c r="X174" i="4"/>
  <c r="X212" i="4"/>
  <c r="V212" i="4"/>
  <c r="W212" i="4"/>
  <c r="X214" i="4"/>
  <c r="V214" i="4"/>
  <c r="W214" i="4"/>
  <c r="V125" i="4"/>
  <c r="W125" i="4"/>
  <c r="X125" i="4"/>
  <c r="V242" i="4"/>
  <c r="W242" i="4"/>
  <c r="X242" i="4"/>
  <c r="W191" i="4"/>
  <c r="V191" i="4"/>
  <c r="X191" i="4"/>
  <c r="BO24" i="3"/>
  <c r="BP24" i="3" s="1"/>
  <c r="BO28" i="3"/>
  <c r="BP28" i="3" s="1"/>
  <c r="BO21" i="3"/>
  <c r="BP21" i="3" s="1"/>
  <c r="BO19" i="3"/>
  <c r="BP19" i="3" s="1"/>
  <c r="X202" i="4"/>
  <c r="W202" i="4"/>
  <c r="V202" i="4"/>
  <c r="AY17" i="3"/>
  <c r="J16" i="4" s="1"/>
  <c r="X232" i="4"/>
  <c r="W232" i="4"/>
  <c r="V232" i="4"/>
  <c r="W163" i="4"/>
  <c r="X163" i="4"/>
  <c r="V163" i="4"/>
  <c r="X157" i="4"/>
  <c r="W157" i="4"/>
  <c r="V157" i="4"/>
  <c r="X179" i="4"/>
  <c r="W179" i="4"/>
  <c r="V179" i="4"/>
  <c r="V68" i="4"/>
  <c r="X68" i="4"/>
  <c r="W68" i="4"/>
  <c r="W65" i="4"/>
  <c r="V65" i="4"/>
  <c r="X65" i="4"/>
  <c r="W11" i="4"/>
  <c r="X11" i="4"/>
  <c r="V11" i="4"/>
  <c r="W75" i="4"/>
  <c r="X75" i="4"/>
  <c r="V75" i="4"/>
  <c r="W225" i="4"/>
  <c r="V225" i="4"/>
  <c r="X225" i="4"/>
  <c r="X145" i="4"/>
  <c r="V145" i="4"/>
  <c r="W145" i="4"/>
  <c r="X188" i="4"/>
  <c r="V188" i="4"/>
  <c r="W188" i="4"/>
  <c r="W226" i="4"/>
  <c r="X226" i="4"/>
  <c r="V226" i="4"/>
  <c r="X285" i="4"/>
  <c r="W285" i="4"/>
  <c r="V285" i="4"/>
  <c r="W165" i="4"/>
  <c r="X165" i="4"/>
  <c r="V165" i="4"/>
  <c r="W275" i="4"/>
  <c r="V275" i="4"/>
  <c r="X275" i="4"/>
  <c r="W268" i="4"/>
  <c r="X268" i="4"/>
  <c r="V268" i="4"/>
  <c r="X248" i="4"/>
  <c r="W248" i="4"/>
  <c r="V248" i="4"/>
  <c r="W83" i="4"/>
  <c r="V83" i="4"/>
  <c r="X83" i="4"/>
  <c r="X178" i="4"/>
  <c r="V178" i="4"/>
  <c r="W178" i="4"/>
  <c r="W300" i="4"/>
  <c r="X300" i="4"/>
  <c r="V300" i="4"/>
  <c r="V247" i="4"/>
  <c r="X247" i="4"/>
  <c r="W247" i="4"/>
  <c r="X270" i="4"/>
  <c r="W270" i="4"/>
  <c r="V270" i="4"/>
  <c r="W199" i="4"/>
  <c r="X199" i="4"/>
  <c r="V199" i="4"/>
  <c r="V143" i="4"/>
  <c r="X143" i="4"/>
  <c r="W143" i="4"/>
  <c r="W190" i="4"/>
  <c r="V190" i="4"/>
  <c r="X190" i="4"/>
  <c r="X120" i="4"/>
  <c r="V120" i="4"/>
  <c r="W120" i="4"/>
  <c r="W218" i="4"/>
  <c r="V218" i="4"/>
  <c r="X218" i="4"/>
  <c r="BJ11" i="3"/>
  <c r="BL11" i="3" s="1"/>
  <c r="AY11" i="3" s="1"/>
  <c r="BK14" i="3" s="1"/>
  <c r="BJ53" i="3"/>
  <c r="BJ222" i="3"/>
  <c r="BJ36" i="3"/>
  <c r="BJ249" i="3"/>
  <c r="BJ272" i="3"/>
  <c r="BJ42" i="3"/>
  <c r="BJ80" i="3"/>
  <c r="BJ151" i="3"/>
  <c r="BJ247" i="3"/>
  <c r="BJ255" i="3"/>
  <c r="BJ109" i="3"/>
  <c r="BJ25" i="3"/>
  <c r="BJ103" i="3"/>
  <c r="BJ133" i="3"/>
  <c r="BJ230" i="3"/>
  <c r="I6" i="4"/>
  <c r="S161" i="4" s="1"/>
  <c r="BJ14" i="3"/>
  <c r="BJ107" i="3"/>
  <c r="BJ138" i="3"/>
  <c r="BJ215" i="3"/>
  <c r="BJ199" i="3"/>
  <c r="BJ78" i="3"/>
  <c r="BJ91" i="3"/>
  <c r="BJ173" i="3"/>
  <c r="BJ188" i="3"/>
  <c r="BJ232" i="3"/>
  <c r="BJ47" i="3"/>
  <c r="BJ108" i="3"/>
  <c r="BJ205" i="3"/>
  <c r="BJ96" i="3"/>
  <c r="BJ26" i="3"/>
  <c r="BJ220" i="3"/>
  <c r="BJ12" i="3"/>
  <c r="BJ244" i="3"/>
  <c r="BJ165" i="3"/>
  <c r="BJ227" i="3"/>
  <c r="BJ260" i="3"/>
  <c r="BJ132" i="3"/>
  <c r="BJ101" i="3"/>
  <c r="BJ202" i="3"/>
  <c r="BJ122" i="3"/>
  <c r="BJ97" i="3"/>
  <c r="BJ137" i="3"/>
  <c r="BJ95" i="3"/>
  <c r="BJ123" i="3"/>
  <c r="BJ174" i="3"/>
  <c r="BJ217" i="3"/>
  <c r="BJ49" i="3"/>
  <c r="BJ195" i="3"/>
  <c r="BJ7" i="3"/>
  <c r="BL7" i="3" s="1"/>
  <c r="BJ13" i="3"/>
  <c r="BJ40" i="3"/>
  <c r="BJ145" i="3"/>
  <c r="BJ184" i="3"/>
  <c r="BJ94" i="3"/>
  <c r="BJ241" i="3"/>
  <c r="BJ50" i="3"/>
  <c r="BJ112" i="3"/>
  <c r="BJ139" i="3"/>
  <c r="BJ196" i="3"/>
  <c r="BJ54" i="3"/>
  <c r="BJ102" i="3"/>
  <c r="BJ154" i="3"/>
  <c r="BJ225" i="3"/>
  <c r="BJ262" i="3"/>
  <c r="BJ39" i="3"/>
  <c r="BJ23" i="3"/>
  <c r="BJ177" i="3"/>
  <c r="BJ55" i="3"/>
  <c r="BJ157" i="3"/>
  <c r="BJ250" i="3"/>
  <c r="BJ254" i="3"/>
  <c r="BJ148" i="3"/>
  <c r="BJ162" i="3"/>
  <c r="BJ252" i="3"/>
  <c r="BJ210" i="3"/>
  <c r="BJ35" i="3"/>
  <c r="BJ52" i="3"/>
  <c r="BJ29" i="3"/>
  <c r="BJ18" i="3"/>
  <c r="AY18" i="3" s="1"/>
  <c r="J17" i="4" s="1"/>
  <c r="BJ193" i="3"/>
  <c r="BJ213" i="3"/>
  <c r="BJ34" i="3"/>
  <c r="BJ268" i="3"/>
  <c r="BJ161" i="3"/>
  <c r="BJ15" i="3"/>
  <c r="BJ221" i="3"/>
  <c r="BJ269" i="3"/>
  <c r="BJ206" i="3"/>
  <c r="BJ265" i="3"/>
  <c r="BJ30" i="3"/>
  <c r="BJ37" i="3"/>
  <c r="BJ8" i="3"/>
  <c r="BL8" i="3" s="1"/>
  <c r="BJ153" i="3"/>
  <c r="BJ178" i="3"/>
  <c r="BJ65" i="3"/>
  <c r="BJ166" i="3"/>
  <c r="BJ246" i="3"/>
  <c r="BJ169" i="3"/>
  <c r="BJ160" i="3"/>
  <c r="BJ136" i="3"/>
  <c r="BJ192" i="3"/>
  <c r="BJ229" i="3"/>
  <c r="BJ270" i="3"/>
  <c r="BJ142" i="3"/>
  <c r="BJ271" i="3"/>
  <c r="BJ172" i="3"/>
  <c r="BJ190" i="3"/>
  <c r="BJ17" i="3"/>
  <c r="BJ275" i="3"/>
  <c r="BJ98" i="3"/>
  <c r="BJ201" i="3"/>
  <c r="BJ235" i="3"/>
  <c r="BJ129" i="3"/>
  <c r="BJ64" i="3"/>
  <c r="BJ67" i="3"/>
  <c r="BJ51" i="3"/>
  <c r="BJ140" i="3"/>
  <c r="BJ185" i="3"/>
  <c r="BJ116" i="3"/>
  <c r="BJ171" i="3"/>
  <c r="BJ233" i="3"/>
  <c r="BJ219" i="3"/>
  <c r="BJ209" i="3"/>
  <c r="BJ114" i="3"/>
  <c r="BJ20" i="3"/>
  <c r="BJ155" i="3"/>
  <c r="BJ158" i="3"/>
  <c r="BJ89" i="3"/>
  <c r="BJ242" i="3"/>
  <c r="BJ203" i="3"/>
  <c r="BJ104" i="3"/>
  <c r="BJ191" i="3"/>
  <c r="BJ186" i="3"/>
  <c r="BJ274" i="3"/>
  <c r="BJ261" i="3"/>
  <c r="BJ82" i="3"/>
  <c r="BJ256" i="3"/>
  <c r="BJ46" i="3"/>
  <c r="BJ126" i="3"/>
  <c r="BJ226" i="3"/>
  <c r="BJ149" i="3"/>
  <c r="BJ19" i="3"/>
  <c r="BJ68" i="3"/>
  <c r="BJ180" i="3"/>
  <c r="BJ85" i="3"/>
  <c r="BJ121" i="3"/>
  <c r="BJ71" i="3"/>
  <c r="BJ63" i="3"/>
  <c r="BJ234" i="3"/>
  <c r="BJ76" i="3"/>
  <c r="BJ118" i="3"/>
  <c r="BJ74" i="3"/>
  <c r="BJ150" i="3"/>
  <c r="BJ69" i="3"/>
  <c r="BJ45" i="3"/>
  <c r="BJ187" i="3"/>
  <c r="BJ124" i="3"/>
  <c r="BJ41" i="3"/>
  <c r="BJ120" i="3"/>
  <c r="BJ182" i="3"/>
  <c r="BJ164" i="3"/>
  <c r="BJ86" i="3"/>
  <c r="BJ223" i="3"/>
  <c r="BJ231" i="3"/>
  <c r="BJ106" i="3"/>
  <c r="BJ273" i="3"/>
  <c r="BJ115" i="3"/>
  <c r="BJ77" i="3"/>
  <c r="BJ43" i="3"/>
  <c r="BJ28" i="3"/>
  <c r="BJ66" i="3"/>
  <c r="BJ81" i="3"/>
  <c r="BJ181" i="3"/>
  <c r="BJ207" i="3"/>
  <c r="BJ208" i="3"/>
  <c r="BJ236" i="3"/>
  <c r="BJ266" i="3"/>
  <c r="BJ144" i="3"/>
  <c r="BJ189" i="3"/>
  <c r="BJ79" i="3"/>
  <c r="BJ70" i="3"/>
  <c r="BJ170" i="3"/>
  <c r="BJ10" i="3"/>
  <c r="BL10" i="3" s="1"/>
  <c r="BJ141" i="3"/>
  <c r="BJ243" i="3"/>
  <c r="BJ33" i="3"/>
  <c r="BJ88" i="3"/>
  <c r="BJ27" i="3"/>
  <c r="BJ264" i="3"/>
  <c r="BJ212" i="3"/>
  <c r="BJ61" i="3"/>
  <c r="BJ179" i="3"/>
  <c r="BJ263" i="3"/>
  <c r="BJ73" i="3"/>
  <c r="BJ38" i="3"/>
  <c r="BJ113" i="3"/>
  <c r="BJ130" i="3"/>
  <c r="BJ117" i="3"/>
  <c r="BJ58" i="3"/>
  <c r="BJ22" i="3"/>
  <c r="BJ258" i="3"/>
  <c r="BJ32" i="3"/>
  <c r="BJ238" i="3"/>
  <c r="BJ224" i="3"/>
  <c r="BJ135" i="3"/>
  <c r="BJ44" i="3"/>
  <c r="BJ143" i="3"/>
  <c r="BJ105" i="3"/>
  <c r="BJ245" i="3"/>
  <c r="BJ216" i="3"/>
  <c r="BJ253" i="3"/>
  <c r="BJ167" i="3"/>
  <c r="BJ163" i="3"/>
  <c r="BJ100" i="3"/>
  <c r="BJ146" i="3"/>
  <c r="BJ48" i="3"/>
  <c r="BJ9" i="3"/>
  <c r="BL9" i="3" s="1"/>
  <c r="BJ198" i="3"/>
  <c r="BJ110" i="3"/>
  <c r="BJ239" i="3"/>
  <c r="BJ175" i="3"/>
  <c r="BJ257" i="3"/>
  <c r="BJ90" i="3"/>
  <c r="BJ176" i="3"/>
  <c r="BJ204" i="3"/>
  <c r="BJ251" i="3"/>
  <c r="BJ218" i="3"/>
  <c r="BJ24" i="3"/>
  <c r="BJ99" i="3"/>
  <c r="BJ92" i="3"/>
  <c r="BJ267" i="3"/>
  <c r="BJ152" i="3"/>
  <c r="BJ197" i="3"/>
  <c r="BJ16" i="3"/>
  <c r="BJ200" i="3"/>
  <c r="BJ57" i="3"/>
  <c r="BJ134" i="3"/>
  <c r="BJ84" i="3"/>
  <c r="BJ128" i="3"/>
  <c r="BJ83" i="3"/>
  <c r="BJ248" i="3"/>
  <c r="BJ259" i="3"/>
  <c r="BJ131" i="3"/>
  <c r="BJ62" i="3"/>
  <c r="BJ183" i="3"/>
  <c r="BJ75" i="3"/>
  <c r="BJ31" i="3"/>
  <c r="BJ119" i="3"/>
  <c r="BJ59" i="3"/>
  <c r="BJ72" i="3"/>
  <c r="BJ237" i="3"/>
  <c r="BJ87" i="3"/>
  <c r="BJ214" i="3"/>
  <c r="BJ111" i="3"/>
  <c r="BJ21" i="3"/>
  <c r="BJ125" i="3"/>
  <c r="BJ240" i="3"/>
  <c r="BJ60" i="3"/>
  <c r="BJ147" i="3"/>
  <c r="BJ228" i="3"/>
  <c r="BJ194" i="3"/>
  <c r="BJ211" i="3"/>
  <c r="BJ156" i="3"/>
  <c r="BJ56" i="3"/>
  <c r="BJ159" i="3"/>
  <c r="BJ168" i="3"/>
  <c r="BJ93" i="3"/>
  <c r="BJ127" i="3"/>
  <c r="W313" i="4"/>
  <c r="X313" i="4"/>
  <c r="V313" i="4"/>
  <c r="W164" i="4"/>
  <c r="X164" i="4"/>
  <c r="V164" i="4"/>
  <c r="X315" i="4"/>
  <c r="W315" i="4"/>
  <c r="V315" i="4"/>
  <c r="W162" i="4"/>
  <c r="X162" i="4"/>
  <c r="V162" i="4"/>
  <c r="V168" i="4"/>
  <c r="W168" i="4"/>
  <c r="X168" i="4"/>
  <c r="X169" i="4"/>
  <c r="V169" i="4"/>
  <c r="W169" i="4"/>
  <c r="V216" i="4"/>
  <c r="W216" i="4"/>
  <c r="X216" i="4"/>
  <c r="V253" i="4"/>
  <c r="X253" i="4"/>
  <c r="W253" i="4"/>
  <c r="V238" i="4"/>
  <c r="X238" i="4"/>
  <c r="W238" i="4"/>
  <c r="W262" i="4"/>
  <c r="X262" i="4"/>
  <c r="V262" i="4"/>
  <c r="BG9" i="3"/>
  <c r="BH9" i="3" s="1"/>
  <c r="E6" i="4"/>
  <c r="BG12" i="3"/>
  <c r="AK7" i="3"/>
  <c r="AK8" i="3" s="1"/>
  <c r="AK9" i="3" s="1"/>
  <c r="AK10" i="3" s="1"/>
  <c r="AK11" i="3" s="1"/>
  <c r="BG8" i="3"/>
  <c r="BH8" i="3" s="1"/>
  <c r="BG11" i="3"/>
  <c r="BG10" i="3"/>
  <c r="W295" i="4"/>
  <c r="V295" i="4"/>
  <c r="X295" i="4"/>
  <c r="W233" i="4"/>
  <c r="X233" i="4"/>
  <c r="V233" i="4"/>
  <c r="W234" i="4"/>
  <c r="X234" i="4"/>
  <c r="V234" i="4"/>
  <c r="V284" i="4"/>
  <c r="W284" i="4"/>
  <c r="X284" i="4"/>
  <c r="V240" i="4"/>
  <c r="W240" i="4"/>
  <c r="X240" i="4"/>
  <c r="X203" i="4"/>
  <c r="V203" i="4"/>
  <c r="W203" i="4"/>
  <c r="X176" i="4"/>
  <c r="W176" i="4"/>
  <c r="V176" i="4"/>
  <c r="X140" i="4"/>
  <c r="W140" i="4"/>
  <c r="V140" i="4"/>
  <c r="W280" i="4"/>
  <c r="X280" i="4"/>
  <c r="V280" i="4"/>
  <c r="X88" i="4"/>
  <c r="W88" i="4"/>
  <c r="V88" i="4"/>
  <c r="N201" i="8"/>
  <c r="BO33" i="3"/>
  <c r="BP33" i="3" s="1"/>
  <c r="AC33" i="3" s="1"/>
  <c r="BO37" i="3" s="1"/>
  <c r="BP37" i="3" s="1"/>
  <c r="AC37" i="3" s="1"/>
  <c r="J19" i="5"/>
  <c r="BS27" i="3"/>
  <c r="BT27" i="3" s="1"/>
  <c r="BS24" i="3"/>
  <c r="BT24" i="3" s="1"/>
  <c r="BS28" i="3"/>
  <c r="BT28" i="3" s="1"/>
  <c r="BS21" i="3"/>
  <c r="BT21" i="3" s="1"/>
  <c r="BS32" i="3"/>
  <c r="BT32" i="3" s="1"/>
  <c r="BS26" i="3"/>
  <c r="BT26" i="3" s="1"/>
  <c r="BS30" i="3"/>
  <c r="BT30" i="3" s="1"/>
  <c r="BS22" i="3"/>
  <c r="BT22" i="3" s="1"/>
  <c r="BS29" i="3"/>
  <c r="BT29" i="3" s="1"/>
  <c r="BS33" i="3"/>
  <c r="BT33" i="3" s="1"/>
  <c r="AI33" i="3" s="1"/>
  <c r="J32" i="5" s="1"/>
  <c r="BS23" i="3"/>
  <c r="BT23" i="3" s="1"/>
  <c r="BS31" i="3"/>
  <c r="BT31" i="3" s="1"/>
  <c r="BS25" i="3"/>
  <c r="BT25" i="3" s="1"/>
  <c r="X41" i="3"/>
  <c r="AE40" i="3"/>
  <c r="P201" i="8"/>
  <c r="BO23" i="3"/>
  <c r="BP23" i="3" s="1"/>
  <c r="BO16" i="3"/>
  <c r="BP16" i="3" s="1"/>
  <c r="BO25" i="3"/>
  <c r="BP25" i="3" s="1"/>
  <c r="Y44" i="3"/>
  <c r="W45" i="3"/>
  <c r="F38" i="5"/>
  <c r="J38" i="8"/>
  <c r="A42" i="5"/>
  <c r="A42" i="8"/>
  <c r="BO29" i="3"/>
  <c r="BP29" i="3" s="1"/>
  <c r="E36" i="5" l="1"/>
  <c r="BO165" i="3"/>
  <c r="BP165" i="3" s="1"/>
  <c r="BO41" i="3"/>
  <c r="BP41" i="3" s="1"/>
  <c r="BO252" i="3"/>
  <c r="BP252" i="3" s="1"/>
  <c r="BO34" i="3"/>
  <c r="BP34" i="3" s="1"/>
  <c r="BS35" i="3"/>
  <c r="BT35" i="3" s="1"/>
  <c r="AI35" i="3" s="1"/>
  <c r="J34" i="5" s="1"/>
  <c r="BO235" i="3"/>
  <c r="BP235" i="3" s="1"/>
  <c r="BO212" i="3"/>
  <c r="BP212" i="3" s="1"/>
  <c r="BO123" i="3"/>
  <c r="BP123" i="3" s="1"/>
  <c r="BO222" i="3"/>
  <c r="BP222" i="3" s="1"/>
  <c r="BO97" i="3"/>
  <c r="BP97" i="3" s="1"/>
  <c r="BO45" i="3"/>
  <c r="BP45" i="3" s="1"/>
  <c r="BO73" i="3"/>
  <c r="BP73" i="3" s="1"/>
  <c r="BO209" i="3"/>
  <c r="BP209" i="3" s="1"/>
  <c r="V161" i="4"/>
  <c r="X161" i="4"/>
  <c r="W161" i="4"/>
  <c r="BK15" i="3"/>
  <c r="BL15" i="3" s="1"/>
  <c r="AY15" i="3" s="1"/>
  <c r="BK71" i="3" s="1"/>
  <c r="BL71" i="3" s="1"/>
  <c r="J10" i="4"/>
  <c r="BH11" i="3"/>
  <c r="W9" i="4"/>
  <c r="V9" i="4"/>
  <c r="X9" i="4"/>
  <c r="U4" i="4"/>
  <c r="BK13" i="3"/>
  <c r="BL13" i="3" s="1"/>
  <c r="BO202" i="3"/>
  <c r="BP202" i="3" s="1"/>
  <c r="BO253" i="3"/>
  <c r="BP253" i="3" s="1"/>
  <c r="BO48" i="3"/>
  <c r="BP48" i="3" s="1"/>
  <c r="BO156" i="3"/>
  <c r="BP156" i="3" s="1"/>
  <c r="BO56" i="3"/>
  <c r="BP56" i="3" s="1"/>
  <c r="BO42" i="3"/>
  <c r="BP42" i="3" s="1"/>
  <c r="BO53" i="3"/>
  <c r="BP53" i="3" s="1"/>
  <c r="BO148" i="3"/>
  <c r="BP148" i="3" s="1"/>
  <c r="BK127" i="3"/>
  <c r="BL127" i="3" s="1"/>
  <c r="BO178" i="3"/>
  <c r="BP178" i="3" s="1"/>
  <c r="BO115" i="3"/>
  <c r="BP115" i="3" s="1"/>
  <c r="BH10" i="3"/>
  <c r="BK12" i="3"/>
  <c r="BL12" i="3" s="1"/>
  <c r="T9" i="4"/>
  <c r="T10" i="4" s="1"/>
  <c r="T11" i="4" s="1"/>
  <c r="T12" i="4" s="1"/>
  <c r="T13" i="4" s="1"/>
  <c r="T14" i="4" s="1"/>
  <c r="T15" i="4" s="1"/>
  <c r="T16" i="4" s="1"/>
  <c r="T17" i="4" s="1"/>
  <c r="T18" i="4" s="1"/>
  <c r="T19" i="4" s="1"/>
  <c r="T20" i="4" s="1"/>
  <c r="T21" i="4" s="1"/>
  <c r="T22" i="4" s="1"/>
  <c r="T23" i="4" s="1"/>
  <c r="T24" i="4" s="1"/>
  <c r="T25" i="4" s="1"/>
  <c r="T26" i="4" s="1"/>
  <c r="T27" i="4" s="1"/>
  <c r="T28" i="4" s="1"/>
  <c r="T29" i="4" s="1"/>
  <c r="T30" i="4" s="1"/>
  <c r="T31" i="4" s="1"/>
  <c r="T32" i="4" s="1"/>
  <c r="T33" i="4" s="1"/>
  <c r="T34" i="4" s="1"/>
  <c r="T35" i="4" s="1"/>
  <c r="T36" i="4" s="1"/>
  <c r="T37" i="4" s="1"/>
  <c r="T38" i="4" s="1"/>
  <c r="T39" i="4" s="1"/>
  <c r="T40" i="4" s="1"/>
  <c r="T41" i="4" s="1"/>
  <c r="T42" i="4" s="1"/>
  <c r="T43" i="4" s="1"/>
  <c r="T44" i="4" s="1"/>
  <c r="T45" i="4" s="1"/>
  <c r="T46" i="4" s="1"/>
  <c r="T47" i="4" s="1"/>
  <c r="T48" i="4" s="1"/>
  <c r="T49" i="4" s="1"/>
  <c r="T50" i="4" s="1"/>
  <c r="T51" i="4" s="1"/>
  <c r="T52" i="4" s="1"/>
  <c r="T53" i="4" s="1"/>
  <c r="T54" i="4" s="1"/>
  <c r="T55" i="4" s="1"/>
  <c r="T56" i="4" s="1"/>
  <c r="T57" i="4" s="1"/>
  <c r="T58" i="4" s="1"/>
  <c r="T59" i="4" s="1"/>
  <c r="T60" i="4" s="1"/>
  <c r="T61" i="4" s="1"/>
  <c r="T62" i="4" s="1"/>
  <c r="T63" i="4" s="1"/>
  <c r="T64" i="4" s="1"/>
  <c r="T65" i="4" s="1"/>
  <c r="T66" i="4" s="1"/>
  <c r="T67" i="4" s="1"/>
  <c r="T68" i="4" s="1"/>
  <c r="T69" i="4" s="1"/>
  <c r="T70" i="4" s="1"/>
  <c r="T71" i="4" s="1"/>
  <c r="T72" i="4" s="1"/>
  <c r="T73" i="4" s="1"/>
  <c r="T74" i="4" s="1"/>
  <c r="T75" i="4" s="1"/>
  <c r="T76" i="4" s="1"/>
  <c r="T77" i="4" s="1"/>
  <c r="T78" i="4" s="1"/>
  <c r="T79" i="4" s="1"/>
  <c r="T80" i="4" s="1"/>
  <c r="T81" i="4" s="1"/>
  <c r="T82" i="4" s="1"/>
  <c r="T83" i="4" s="1"/>
  <c r="T84" i="4" s="1"/>
  <c r="T85" i="4" s="1"/>
  <c r="T86" i="4" s="1"/>
  <c r="T87" i="4" s="1"/>
  <c r="T88" i="4" s="1"/>
  <c r="T89" i="4" s="1"/>
  <c r="T90" i="4" s="1"/>
  <c r="T91" i="4" s="1"/>
  <c r="T92" i="4" s="1"/>
  <c r="T93" i="4" s="1"/>
  <c r="T94" i="4" s="1"/>
  <c r="T95" i="4" s="1"/>
  <c r="T96" i="4" s="1"/>
  <c r="T97" i="4" s="1"/>
  <c r="T98" i="4" s="1"/>
  <c r="T99" i="4" s="1"/>
  <c r="T100" i="4" s="1"/>
  <c r="T101" i="4" s="1"/>
  <c r="T102" i="4" s="1"/>
  <c r="T103" i="4" s="1"/>
  <c r="T104" i="4" s="1"/>
  <c r="T105" i="4" s="1"/>
  <c r="T106" i="4" s="1"/>
  <c r="T107" i="4" s="1"/>
  <c r="T108" i="4" s="1"/>
  <c r="T109" i="4" s="1"/>
  <c r="T110" i="4" s="1"/>
  <c r="T111" i="4" s="1"/>
  <c r="T112" i="4" s="1"/>
  <c r="T113" i="4" s="1"/>
  <c r="T114" i="4" s="1"/>
  <c r="T115" i="4" s="1"/>
  <c r="T116" i="4" s="1"/>
  <c r="T117" i="4" s="1"/>
  <c r="T118" i="4" s="1"/>
  <c r="T119" i="4" s="1"/>
  <c r="T120" i="4" s="1"/>
  <c r="T121" i="4" s="1"/>
  <c r="T122" i="4" s="1"/>
  <c r="T123" i="4" s="1"/>
  <c r="T124" i="4" s="1"/>
  <c r="T125" i="4" s="1"/>
  <c r="T126" i="4" s="1"/>
  <c r="T127" i="4" s="1"/>
  <c r="T128" i="4" s="1"/>
  <c r="T129" i="4" s="1"/>
  <c r="T130" i="4" s="1"/>
  <c r="T131" i="4" s="1"/>
  <c r="T132" i="4" s="1"/>
  <c r="T133" i="4" s="1"/>
  <c r="T134" i="4" s="1"/>
  <c r="T135" i="4" s="1"/>
  <c r="T136" i="4" s="1"/>
  <c r="T137" i="4" s="1"/>
  <c r="T138" i="4" s="1"/>
  <c r="T139" i="4" s="1"/>
  <c r="T140" i="4" s="1"/>
  <c r="T141" i="4" s="1"/>
  <c r="T142" i="4" s="1"/>
  <c r="T143" i="4" s="1"/>
  <c r="T144" i="4" s="1"/>
  <c r="T145" i="4" s="1"/>
  <c r="T146" i="4" s="1"/>
  <c r="T147" i="4" s="1"/>
  <c r="T148" i="4" s="1"/>
  <c r="T149" i="4" s="1"/>
  <c r="T150" i="4" s="1"/>
  <c r="T151" i="4" s="1"/>
  <c r="T152" i="4" s="1"/>
  <c r="T153" i="4" s="1"/>
  <c r="T154" i="4" s="1"/>
  <c r="T155" i="4" s="1"/>
  <c r="T156" i="4" s="1"/>
  <c r="T157" i="4" s="1"/>
  <c r="T158" i="4" s="1"/>
  <c r="T159" i="4" s="1"/>
  <c r="T160" i="4" s="1"/>
  <c r="T161" i="4" s="1"/>
  <c r="T162" i="4" s="1"/>
  <c r="T163" i="4" s="1"/>
  <c r="T164" i="4" s="1"/>
  <c r="T165" i="4" s="1"/>
  <c r="AS11" i="3"/>
  <c r="AS12" i="3" s="1"/>
  <c r="AS13" i="3" s="1"/>
  <c r="AS14" i="3" s="1"/>
  <c r="AS15" i="3" s="1"/>
  <c r="AS16" i="3" s="1"/>
  <c r="AS17" i="3" s="1"/>
  <c r="AS18" i="3" s="1"/>
  <c r="AS19" i="3" s="1"/>
  <c r="AS20" i="3" s="1"/>
  <c r="AS21" i="3" s="1"/>
  <c r="AS22" i="3" s="1"/>
  <c r="AS23" i="3" s="1"/>
  <c r="AS24" i="3" s="1"/>
  <c r="AS25" i="3" s="1"/>
  <c r="AS26" i="3" s="1"/>
  <c r="AS27" i="3" s="1"/>
  <c r="AS28" i="3" s="1"/>
  <c r="AS29" i="3" s="1"/>
  <c r="AS30" i="3" s="1"/>
  <c r="AS31" i="3" s="1"/>
  <c r="AS32" i="3" s="1"/>
  <c r="AS33" i="3" s="1"/>
  <c r="AS34" i="3" s="1"/>
  <c r="AS35" i="3" s="1"/>
  <c r="AS36" i="3" s="1"/>
  <c r="AS37" i="3" s="1"/>
  <c r="AS38" i="3" s="1"/>
  <c r="AS39" i="3" s="1"/>
  <c r="AS40" i="3" s="1"/>
  <c r="AS41" i="3" s="1"/>
  <c r="AS42" i="3" s="1"/>
  <c r="AS43" i="3" s="1"/>
  <c r="AS44" i="3" s="1"/>
  <c r="AS45" i="3" s="1"/>
  <c r="AS46" i="3" s="1"/>
  <c r="AS47" i="3" s="1"/>
  <c r="AS48" i="3" s="1"/>
  <c r="AS49" i="3" s="1"/>
  <c r="AS50" i="3" s="1"/>
  <c r="AS51" i="3" s="1"/>
  <c r="AS52" i="3" s="1"/>
  <c r="AS53" i="3" s="1"/>
  <c r="AS54" i="3" s="1"/>
  <c r="AS55" i="3" s="1"/>
  <c r="AS56" i="3" s="1"/>
  <c r="AS57" i="3" s="1"/>
  <c r="AS58" i="3" s="1"/>
  <c r="AS59" i="3" s="1"/>
  <c r="AS60" i="3" s="1"/>
  <c r="AS61" i="3" s="1"/>
  <c r="AS62" i="3" s="1"/>
  <c r="AS63" i="3" s="1"/>
  <c r="AS64" i="3" s="1"/>
  <c r="AS65" i="3" s="1"/>
  <c r="AS66" i="3" s="1"/>
  <c r="AS67" i="3" s="1"/>
  <c r="AS68" i="3" s="1"/>
  <c r="AS69" i="3" s="1"/>
  <c r="AS70" i="3" s="1"/>
  <c r="AS71" i="3" s="1"/>
  <c r="AS72" i="3" s="1"/>
  <c r="AS73" i="3" s="1"/>
  <c r="AS74" i="3" s="1"/>
  <c r="AS75" i="3" s="1"/>
  <c r="AS76" i="3" s="1"/>
  <c r="AS77" i="3" s="1"/>
  <c r="AS78" i="3" s="1"/>
  <c r="AS79" i="3" s="1"/>
  <c r="AS80" i="3" s="1"/>
  <c r="AS81" i="3" s="1"/>
  <c r="AS82" i="3" s="1"/>
  <c r="AS83" i="3" s="1"/>
  <c r="AS84" i="3" s="1"/>
  <c r="AS85" i="3" s="1"/>
  <c r="AS86" i="3" s="1"/>
  <c r="AS87" i="3" s="1"/>
  <c r="AS88" i="3" s="1"/>
  <c r="AS89" i="3" s="1"/>
  <c r="AS90" i="3" s="1"/>
  <c r="AS91" i="3" s="1"/>
  <c r="AS92" i="3" s="1"/>
  <c r="AS93" i="3" s="1"/>
  <c r="AS94" i="3" s="1"/>
  <c r="AS95" i="3" s="1"/>
  <c r="AS96" i="3" s="1"/>
  <c r="AS97" i="3" s="1"/>
  <c r="AS98" i="3" s="1"/>
  <c r="AS99" i="3" s="1"/>
  <c r="AS100" i="3" s="1"/>
  <c r="AS101" i="3" s="1"/>
  <c r="AS102" i="3" s="1"/>
  <c r="AS103" i="3" s="1"/>
  <c r="AS104" i="3" s="1"/>
  <c r="AS105" i="3" s="1"/>
  <c r="AS106" i="3" s="1"/>
  <c r="AS107" i="3" s="1"/>
  <c r="AS108" i="3" s="1"/>
  <c r="AS109" i="3" s="1"/>
  <c r="AS110" i="3" s="1"/>
  <c r="AS111" i="3" s="1"/>
  <c r="AS112" i="3" s="1"/>
  <c r="AS113" i="3" s="1"/>
  <c r="AS114" i="3" s="1"/>
  <c r="AS115" i="3" s="1"/>
  <c r="AS116" i="3" s="1"/>
  <c r="AS117" i="3" s="1"/>
  <c r="AS118" i="3" s="1"/>
  <c r="AS119" i="3" s="1"/>
  <c r="AS120" i="3" s="1"/>
  <c r="AS121" i="3" s="1"/>
  <c r="AS122" i="3" s="1"/>
  <c r="AS123" i="3" s="1"/>
  <c r="AS124" i="3" s="1"/>
  <c r="AS125" i="3" s="1"/>
  <c r="AS126" i="3" s="1"/>
  <c r="AS127" i="3" s="1"/>
  <c r="AS128" i="3" s="1"/>
  <c r="AS129" i="3" s="1"/>
  <c r="AS130" i="3" s="1"/>
  <c r="AS131" i="3" s="1"/>
  <c r="AS132" i="3" s="1"/>
  <c r="AS133" i="3" s="1"/>
  <c r="AS134" i="3" s="1"/>
  <c r="AS135" i="3" s="1"/>
  <c r="AS136" i="3" s="1"/>
  <c r="AS137" i="3" s="1"/>
  <c r="AS138" i="3" s="1"/>
  <c r="AS139" i="3" s="1"/>
  <c r="AS140" i="3" s="1"/>
  <c r="AS141" i="3" s="1"/>
  <c r="AS142" i="3" s="1"/>
  <c r="AS143" i="3" s="1"/>
  <c r="AS144" i="3" s="1"/>
  <c r="AS145" i="3" s="1"/>
  <c r="AS146" i="3" s="1"/>
  <c r="AS147" i="3" s="1"/>
  <c r="AS148" i="3" s="1"/>
  <c r="AS149" i="3" s="1"/>
  <c r="AS150" i="3" s="1"/>
  <c r="AS151" i="3" s="1"/>
  <c r="AS152" i="3" s="1"/>
  <c r="AS153" i="3" s="1"/>
  <c r="AS154" i="3" s="1"/>
  <c r="AS155" i="3" s="1"/>
  <c r="AS156" i="3" s="1"/>
  <c r="AS157" i="3" s="1"/>
  <c r="AS158" i="3" s="1"/>
  <c r="AS159" i="3" s="1"/>
  <c r="AS160" i="3" s="1"/>
  <c r="AS161" i="3" s="1"/>
  <c r="AS162" i="3" s="1"/>
  <c r="AS163" i="3" s="1"/>
  <c r="AS164" i="3" s="1"/>
  <c r="AS165" i="3" s="1"/>
  <c r="AS166" i="3" s="1"/>
  <c r="AS167" i="3" s="1"/>
  <c r="AS168" i="3" s="1"/>
  <c r="AS169" i="3" s="1"/>
  <c r="AS170" i="3" s="1"/>
  <c r="AS171" i="3" s="1"/>
  <c r="AS172" i="3" s="1"/>
  <c r="AS173" i="3" s="1"/>
  <c r="AS174" i="3" s="1"/>
  <c r="AS175" i="3" s="1"/>
  <c r="AS176" i="3" s="1"/>
  <c r="AS177" i="3" s="1"/>
  <c r="AS178" i="3" s="1"/>
  <c r="AS179" i="3" s="1"/>
  <c r="AS180" i="3" s="1"/>
  <c r="AS181" i="3" s="1"/>
  <c r="AS182" i="3" s="1"/>
  <c r="AS183" i="3" s="1"/>
  <c r="AS184" i="3" s="1"/>
  <c r="AS185" i="3" s="1"/>
  <c r="AS186" i="3" s="1"/>
  <c r="AS187" i="3" s="1"/>
  <c r="AS188" i="3" s="1"/>
  <c r="AS189" i="3" s="1"/>
  <c r="AS190" i="3" s="1"/>
  <c r="AS191" i="3" s="1"/>
  <c r="AS192" i="3" s="1"/>
  <c r="AS193" i="3" s="1"/>
  <c r="AS194" i="3" s="1"/>
  <c r="AS195" i="3" s="1"/>
  <c r="AS196" i="3" s="1"/>
  <c r="AS197" i="3" s="1"/>
  <c r="AS198" i="3" s="1"/>
  <c r="AS199" i="3" s="1"/>
  <c r="AS200" i="3" s="1"/>
  <c r="AS201" i="3" s="1"/>
  <c r="AS202" i="3" s="1"/>
  <c r="AS203" i="3" s="1"/>
  <c r="AS204" i="3" s="1"/>
  <c r="AS205" i="3" s="1"/>
  <c r="AS206" i="3" s="1"/>
  <c r="AS207" i="3" s="1"/>
  <c r="AS208" i="3" s="1"/>
  <c r="AS209" i="3" s="1"/>
  <c r="AS210" i="3" s="1"/>
  <c r="AS211" i="3" s="1"/>
  <c r="AS212" i="3" s="1"/>
  <c r="AS213" i="3" s="1"/>
  <c r="AS214" i="3" s="1"/>
  <c r="AS215" i="3" s="1"/>
  <c r="AS216" i="3" s="1"/>
  <c r="AS217" i="3" s="1"/>
  <c r="AS218" i="3" s="1"/>
  <c r="AS219" i="3" s="1"/>
  <c r="AS220" i="3" s="1"/>
  <c r="AS221" i="3" s="1"/>
  <c r="AS222" i="3" s="1"/>
  <c r="AS223" i="3" s="1"/>
  <c r="AS224" i="3" s="1"/>
  <c r="AS225" i="3" s="1"/>
  <c r="AS226" i="3" s="1"/>
  <c r="AS227" i="3" s="1"/>
  <c r="AS228" i="3" s="1"/>
  <c r="AS229" i="3" s="1"/>
  <c r="AS230" i="3" s="1"/>
  <c r="AS231" i="3" s="1"/>
  <c r="AS232" i="3" s="1"/>
  <c r="AS233" i="3" s="1"/>
  <c r="AS234" i="3" s="1"/>
  <c r="AS235" i="3" s="1"/>
  <c r="AS236" i="3" s="1"/>
  <c r="AS237" i="3" s="1"/>
  <c r="AS238" i="3" s="1"/>
  <c r="AS239" i="3" s="1"/>
  <c r="AS240" i="3" s="1"/>
  <c r="AS241" i="3" s="1"/>
  <c r="AS242" i="3" s="1"/>
  <c r="AS243" i="3" s="1"/>
  <c r="AS244" i="3" s="1"/>
  <c r="AS245" i="3" s="1"/>
  <c r="AS246" i="3" s="1"/>
  <c r="AS247" i="3" s="1"/>
  <c r="AS248" i="3" s="1"/>
  <c r="AS249" i="3" s="1"/>
  <c r="AS250" i="3" s="1"/>
  <c r="AS251" i="3" s="1"/>
  <c r="AS252" i="3" s="1"/>
  <c r="AS253" i="3" s="1"/>
  <c r="AS254" i="3" s="1"/>
  <c r="AS255" i="3" s="1"/>
  <c r="AS256" i="3" s="1"/>
  <c r="AS257" i="3" s="1"/>
  <c r="AS258" i="3" s="1"/>
  <c r="AS259" i="3" s="1"/>
  <c r="AS260" i="3" s="1"/>
  <c r="AS261" i="3" s="1"/>
  <c r="AS262" i="3" s="1"/>
  <c r="AS263" i="3" s="1"/>
  <c r="AS264" i="3" s="1"/>
  <c r="AS265" i="3" s="1"/>
  <c r="AS266" i="3" s="1"/>
  <c r="AS267" i="3" s="1"/>
  <c r="AS268" i="3" s="1"/>
  <c r="AS269" i="3" s="1"/>
  <c r="AS270" i="3" s="1"/>
  <c r="AS271" i="3" s="1"/>
  <c r="AS272" i="3" s="1"/>
  <c r="AS273" i="3" s="1"/>
  <c r="AS274" i="3" s="1"/>
  <c r="AS275" i="3" s="1"/>
  <c r="BO119" i="3"/>
  <c r="BP119" i="3" s="1"/>
  <c r="BO99" i="3"/>
  <c r="BP99" i="3" s="1"/>
  <c r="BL14" i="3"/>
  <c r="BH12" i="3"/>
  <c r="AQ12" i="3" s="1"/>
  <c r="BK74" i="3"/>
  <c r="BL74" i="3" s="1"/>
  <c r="BK190" i="3"/>
  <c r="BL190" i="3" s="1"/>
  <c r="BK219" i="3"/>
  <c r="BL219" i="3" s="1"/>
  <c r="BK275" i="3"/>
  <c r="BL275" i="3" s="1"/>
  <c r="BO128" i="3"/>
  <c r="BP128" i="3" s="1"/>
  <c r="BO262" i="3"/>
  <c r="BP262" i="3" s="1"/>
  <c r="BO90" i="3"/>
  <c r="BP90" i="3" s="1"/>
  <c r="BS209" i="3"/>
  <c r="BT209" i="3" s="1"/>
  <c r="BS170" i="3"/>
  <c r="BT170" i="3" s="1"/>
  <c r="BS198" i="3"/>
  <c r="BT198" i="3" s="1"/>
  <c r="BS151" i="3"/>
  <c r="BT151" i="3" s="1"/>
  <c r="BS253" i="3"/>
  <c r="BT253" i="3" s="1"/>
  <c r="BS51" i="3"/>
  <c r="BT51" i="3" s="1"/>
  <c r="BS193" i="3"/>
  <c r="BT193" i="3" s="1"/>
  <c r="BS94" i="3"/>
  <c r="BT94" i="3" s="1"/>
  <c r="BS206" i="3"/>
  <c r="BT206" i="3" s="1"/>
  <c r="BS161" i="3"/>
  <c r="BT161" i="3" s="1"/>
  <c r="BS88" i="3"/>
  <c r="BT88" i="3" s="1"/>
  <c r="BS160" i="3"/>
  <c r="BT160" i="3" s="1"/>
  <c r="BS123" i="3"/>
  <c r="BT123" i="3" s="1"/>
  <c r="BS138" i="3"/>
  <c r="BT138" i="3" s="1"/>
  <c r="BS231" i="3"/>
  <c r="BT231" i="3" s="1"/>
  <c r="BS129" i="3"/>
  <c r="BT129" i="3" s="1"/>
  <c r="BS122" i="3"/>
  <c r="BT122" i="3" s="1"/>
  <c r="BS55" i="3"/>
  <c r="BT55" i="3" s="1"/>
  <c r="BS72" i="3"/>
  <c r="BT72" i="3" s="1"/>
  <c r="BS243" i="3"/>
  <c r="BT243" i="3" s="1"/>
  <c r="BO241" i="3"/>
  <c r="BP241" i="3" s="1"/>
  <c r="BO259" i="3"/>
  <c r="BP259" i="3" s="1"/>
  <c r="BO168" i="3"/>
  <c r="BP168" i="3" s="1"/>
  <c r="BO210" i="3"/>
  <c r="BP210" i="3" s="1"/>
  <c r="BO248" i="3"/>
  <c r="BP248" i="3" s="1"/>
  <c r="Y45" i="3"/>
  <c r="W46" i="3"/>
  <c r="BO229" i="3"/>
  <c r="BP229" i="3" s="1"/>
  <c r="BO59" i="3"/>
  <c r="BP59" i="3" s="1"/>
  <c r="BO106" i="3"/>
  <c r="BP106" i="3" s="1"/>
  <c r="BO230" i="3"/>
  <c r="BP230" i="3" s="1"/>
  <c r="BO76" i="3"/>
  <c r="BP76" i="3" s="1"/>
  <c r="BO113" i="3"/>
  <c r="BP113" i="3" s="1"/>
  <c r="F39" i="5"/>
  <c r="J39" i="8"/>
  <c r="BS46" i="3"/>
  <c r="BT46" i="3" s="1"/>
  <c r="BS73" i="3"/>
  <c r="BT73" i="3" s="1"/>
  <c r="BS214" i="3"/>
  <c r="BT214" i="3" s="1"/>
  <c r="BS174" i="3"/>
  <c r="BT174" i="3" s="1"/>
  <c r="BS130" i="3"/>
  <c r="BT130" i="3" s="1"/>
  <c r="BS86" i="3"/>
  <c r="BT86" i="3" s="1"/>
  <c r="BS259" i="3"/>
  <c r="BT259" i="3" s="1"/>
  <c r="BS127" i="3"/>
  <c r="BT127" i="3" s="1"/>
  <c r="BS176" i="3"/>
  <c r="BT176" i="3" s="1"/>
  <c r="BS142" i="3"/>
  <c r="BT142" i="3" s="1"/>
  <c r="BS250" i="3"/>
  <c r="BT250" i="3" s="1"/>
  <c r="BS211" i="3"/>
  <c r="BT211" i="3" s="1"/>
  <c r="BS81" i="3"/>
  <c r="BT81" i="3" s="1"/>
  <c r="BS260" i="3"/>
  <c r="BT260" i="3" s="1"/>
  <c r="BS164" i="3"/>
  <c r="BT164" i="3" s="1"/>
  <c r="BS110" i="3"/>
  <c r="BT110" i="3" s="1"/>
  <c r="BS232" i="3"/>
  <c r="BT232" i="3" s="1"/>
  <c r="BS49" i="3"/>
  <c r="BT49" i="3" s="1"/>
  <c r="BS188" i="3"/>
  <c r="BT188" i="3" s="1"/>
  <c r="BS58" i="3"/>
  <c r="BT58" i="3" s="1"/>
  <c r="BS114" i="3"/>
  <c r="BT114" i="3" s="1"/>
  <c r="BS261" i="3"/>
  <c r="BT261" i="3" s="1"/>
  <c r="BS212" i="3"/>
  <c r="BT212" i="3" s="1"/>
  <c r="BS159" i="3"/>
  <c r="BT159" i="3" s="1"/>
  <c r="BS267" i="3"/>
  <c r="BT267" i="3" s="1"/>
  <c r="BS77" i="3"/>
  <c r="BT77" i="3" s="1"/>
  <c r="BS39" i="3"/>
  <c r="BT39" i="3" s="1"/>
  <c r="BS207" i="3"/>
  <c r="BT207" i="3" s="1"/>
  <c r="BS146" i="3"/>
  <c r="BT146" i="3" s="1"/>
  <c r="BS70" i="3"/>
  <c r="BT70" i="3" s="1"/>
  <c r="BS40" i="3"/>
  <c r="BT40" i="3" s="1"/>
  <c r="BS178" i="3"/>
  <c r="BT178" i="3" s="1"/>
  <c r="BS66" i="3"/>
  <c r="BT66" i="3" s="1"/>
  <c r="BS272" i="3"/>
  <c r="BT272" i="3" s="1"/>
  <c r="BS213" i="3"/>
  <c r="BT213" i="3" s="1"/>
  <c r="BS173" i="3"/>
  <c r="BT173" i="3" s="1"/>
  <c r="BS136" i="3"/>
  <c r="BT136" i="3" s="1"/>
  <c r="BS252" i="3"/>
  <c r="BT252" i="3" s="1"/>
  <c r="BS57" i="3"/>
  <c r="BT57" i="3" s="1"/>
  <c r="BS95" i="3"/>
  <c r="BT95" i="3" s="1"/>
  <c r="BS119" i="3"/>
  <c r="BT119" i="3" s="1"/>
  <c r="BS257" i="3"/>
  <c r="BT257" i="3" s="1"/>
  <c r="BS148" i="3"/>
  <c r="BT148" i="3" s="1"/>
  <c r="BS117" i="3"/>
  <c r="BT117" i="3" s="1"/>
  <c r="BS221" i="3"/>
  <c r="BT221" i="3" s="1"/>
  <c r="BS220" i="3"/>
  <c r="BT220" i="3" s="1"/>
  <c r="BS47" i="3"/>
  <c r="BT47" i="3" s="1"/>
  <c r="BS97" i="3"/>
  <c r="BT97" i="3" s="1"/>
  <c r="BS128" i="3"/>
  <c r="BT128" i="3" s="1"/>
  <c r="BS270" i="3"/>
  <c r="BT270" i="3" s="1"/>
  <c r="BS204" i="3"/>
  <c r="BT204" i="3" s="1"/>
  <c r="BS116" i="3"/>
  <c r="BT116" i="3" s="1"/>
  <c r="BS45" i="3"/>
  <c r="BT45" i="3" s="1"/>
  <c r="BS190" i="3"/>
  <c r="BT190" i="3" s="1"/>
  <c r="BS153" i="3"/>
  <c r="BT153" i="3" s="1"/>
  <c r="BS137" i="3"/>
  <c r="BT137" i="3" s="1"/>
  <c r="BS80" i="3"/>
  <c r="BT80" i="3" s="1"/>
  <c r="BS93" i="3"/>
  <c r="BT93" i="3" s="1"/>
  <c r="BS82" i="3"/>
  <c r="BT82" i="3" s="1"/>
  <c r="BS109" i="3"/>
  <c r="BT109" i="3" s="1"/>
  <c r="BS84" i="3"/>
  <c r="BT84" i="3" s="1"/>
  <c r="BS201" i="3"/>
  <c r="BT201" i="3" s="1"/>
  <c r="BO269" i="3"/>
  <c r="BP269" i="3" s="1"/>
  <c r="BO122" i="3"/>
  <c r="BP122" i="3" s="1"/>
  <c r="BO166" i="3"/>
  <c r="BP166" i="3" s="1"/>
  <c r="BO54" i="3"/>
  <c r="BP54" i="3" s="1"/>
  <c r="BS268" i="3"/>
  <c r="BT268" i="3" s="1"/>
  <c r="BS103" i="3"/>
  <c r="BT103" i="3" s="1"/>
  <c r="BS216" i="3"/>
  <c r="BT216" i="3" s="1"/>
  <c r="BS234" i="3"/>
  <c r="BT234" i="3" s="1"/>
  <c r="BS169" i="3"/>
  <c r="BT169" i="3" s="1"/>
  <c r="BS202" i="3"/>
  <c r="BT202" i="3" s="1"/>
  <c r="BS183" i="3"/>
  <c r="BT183" i="3" s="1"/>
  <c r="BS256" i="3"/>
  <c r="BT256" i="3" s="1"/>
  <c r="BS167" i="3"/>
  <c r="BT167" i="3" s="1"/>
  <c r="BS68" i="3"/>
  <c r="BT68" i="3" s="1"/>
  <c r="BS107" i="3"/>
  <c r="BT107" i="3" s="1"/>
  <c r="BS187" i="3"/>
  <c r="BT187" i="3" s="1"/>
  <c r="BS113" i="3"/>
  <c r="BT113" i="3" s="1"/>
  <c r="BS196" i="3"/>
  <c r="BT196" i="3" s="1"/>
  <c r="BS175" i="3"/>
  <c r="BT175" i="3" s="1"/>
  <c r="BS236" i="3"/>
  <c r="BT236" i="3" s="1"/>
  <c r="BS67" i="3"/>
  <c r="BT67" i="3" s="1"/>
  <c r="BS140" i="3"/>
  <c r="BT140" i="3" s="1"/>
  <c r="BS200" i="3"/>
  <c r="BT200" i="3" s="1"/>
  <c r="BS100" i="3"/>
  <c r="BT100" i="3" s="1"/>
  <c r="BO95" i="3"/>
  <c r="BP95" i="3" s="1"/>
  <c r="BO124" i="3"/>
  <c r="BP124" i="3" s="1"/>
  <c r="BO227" i="3"/>
  <c r="BP227" i="3" s="1"/>
  <c r="BO254" i="3"/>
  <c r="BP254" i="3" s="1"/>
  <c r="BO270" i="3"/>
  <c r="BP270" i="3" s="1"/>
  <c r="BO240" i="3"/>
  <c r="BP240" i="3" s="1"/>
  <c r="BO93" i="3"/>
  <c r="BP93" i="3" s="1"/>
  <c r="A43" i="5"/>
  <c r="A43" i="8"/>
  <c r="BO83" i="3"/>
  <c r="BP83" i="3" s="1"/>
  <c r="BO61" i="3"/>
  <c r="BP61" i="3" s="1"/>
  <c r="BO197" i="3"/>
  <c r="BP197" i="3" s="1"/>
  <c r="BO232" i="3"/>
  <c r="BP232" i="3" s="1"/>
  <c r="BO190" i="3"/>
  <c r="BP190" i="3" s="1"/>
  <c r="BO71" i="3"/>
  <c r="BP71" i="3" s="1"/>
  <c r="BO237" i="3"/>
  <c r="BP237" i="3" s="1"/>
  <c r="X42" i="3"/>
  <c r="AE41" i="3"/>
  <c r="BS106" i="3"/>
  <c r="BT106" i="3" s="1"/>
  <c r="BS223" i="3"/>
  <c r="BT223" i="3" s="1"/>
  <c r="BS56" i="3"/>
  <c r="BT56" i="3" s="1"/>
  <c r="BS126" i="3"/>
  <c r="BT126" i="3" s="1"/>
  <c r="BS147" i="3"/>
  <c r="BT147" i="3" s="1"/>
  <c r="BS210" i="3"/>
  <c r="BT210" i="3" s="1"/>
  <c r="BS238" i="3"/>
  <c r="BT238" i="3" s="1"/>
  <c r="BS144" i="3"/>
  <c r="BT144" i="3" s="1"/>
  <c r="BS83" i="3"/>
  <c r="BT83" i="3" s="1"/>
  <c r="BS172" i="3"/>
  <c r="BT172" i="3" s="1"/>
  <c r="BS217" i="3"/>
  <c r="BT217" i="3" s="1"/>
  <c r="BS96" i="3"/>
  <c r="BT96" i="3" s="1"/>
  <c r="BS244" i="3"/>
  <c r="BT244" i="3" s="1"/>
  <c r="BS85" i="3"/>
  <c r="BT85" i="3" s="1"/>
  <c r="BS246" i="3"/>
  <c r="BT246" i="3" s="1"/>
  <c r="BS265" i="3"/>
  <c r="BT265" i="3" s="1"/>
  <c r="BS64" i="3"/>
  <c r="BT64" i="3" s="1"/>
  <c r="BS98" i="3"/>
  <c r="BT98" i="3" s="1"/>
  <c r="BS192" i="3"/>
  <c r="BT192" i="3" s="1"/>
  <c r="BS61" i="3"/>
  <c r="BT61" i="3" s="1"/>
  <c r="BS135" i="3"/>
  <c r="BT135" i="3" s="1"/>
  <c r="BS166" i="3"/>
  <c r="BT166" i="3" s="1"/>
  <c r="BS152" i="3"/>
  <c r="BT152" i="3" s="1"/>
  <c r="BS262" i="3"/>
  <c r="BT262" i="3" s="1"/>
  <c r="BS230" i="3"/>
  <c r="BT230" i="3" s="1"/>
  <c r="BS71" i="3"/>
  <c r="BT71" i="3" s="1"/>
  <c r="BS195" i="3"/>
  <c r="BT195" i="3" s="1"/>
  <c r="BS38" i="3"/>
  <c r="BT38" i="3" s="1"/>
  <c r="BS240" i="3"/>
  <c r="BT240" i="3" s="1"/>
  <c r="BS87" i="3"/>
  <c r="BT87" i="3" s="1"/>
  <c r="BS171" i="3"/>
  <c r="BT171" i="3" s="1"/>
  <c r="BS60" i="3"/>
  <c r="BT60" i="3" s="1"/>
  <c r="BS263" i="3"/>
  <c r="BT263" i="3" s="1"/>
  <c r="BS222" i="3"/>
  <c r="BT222" i="3" s="1"/>
  <c r="BS266" i="3"/>
  <c r="BT266" i="3" s="1"/>
  <c r="BS78" i="3"/>
  <c r="BT78" i="3" s="1"/>
  <c r="BS105" i="3"/>
  <c r="BT105" i="3" s="1"/>
  <c r="BS158" i="3"/>
  <c r="BT158" i="3" s="1"/>
  <c r="BS44" i="3"/>
  <c r="BT44" i="3" s="1"/>
  <c r="BS54" i="3"/>
  <c r="BT54" i="3" s="1"/>
  <c r="BS251" i="3"/>
  <c r="BT251" i="3" s="1"/>
  <c r="BS168" i="3"/>
  <c r="BT168" i="3" s="1"/>
  <c r="BS65" i="3"/>
  <c r="BT65" i="3" s="1"/>
  <c r="BS133" i="3"/>
  <c r="BT133" i="3" s="1"/>
  <c r="BS91" i="3"/>
  <c r="BT91" i="3" s="1"/>
  <c r="BS149" i="3"/>
  <c r="BT149" i="3" s="1"/>
  <c r="BS141" i="3"/>
  <c r="BT141" i="3" s="1"/>
  <c r="BS245" i="3"/>
  <c r="BT245" i="3" s="1"/>
  <c r="BS157" i="3"/>
  <c r="BT157" i="3" s="1"/>
  <c r="BS63" i="3"/>
  <c r="BT63" i="3" s="1"/>
  <c r="BS208" i="3"/>
  <c r="BT208" i="3" s="1"/>
  <c r="BS108" i="3"/>
  <c r="BT108" i="3" s="1"/>
  <c r="BS34" i="3"/>
  <c r="BT34" i="3" s="1"/>
  <c r="BS53" i="3"/>
  <c r="BT53" i="3" s="1"/>
  <c r="BS248" i="3"/>
  <c r="BT248" i="3" s="1"/>
  <c r="BS43" i="3"/>
  <c r="BT43" i="3" s="1"/>
  <c r="BS90" i="3"/>
  <c r="BT90" i="3" s="1"/>
  <c r="BS203" i="3"/>
  <c r="BT203" i="3" s="1"/>
  <c r="BS241" i="3"/>
  <c r="BT241" i="3" s="1"/>
  <c r="BS99" i="3"/>
  <c r="BT99" i="3" s="1"/>
  <c r="BO94" i="3"/>
  <c r="BP94" i="3" s="1"/>
  <c r="BO50" i="3"/>
  <c r="BP50" i="3" s="1"/>
  <c r="BO66" i="3"/>
  <c r="BP66" i="3" s="1"/>
  <c r="BO182" i="3"/>
  <c r="BP182" i="3" s="1"/>
  <c r="BS104" i="3"/>
  <c r="BT104" i="3" s="1"/>
  <c r="BS150" i="3"/>
  <c r="BT150" i="3" s="1"/>
  <c r="BS218" i="3"/>
  <c r="BT218" i="3" s="1"/>
  <c r="BS154" i="3"/>
  <c r="BT154" i="3" s="1"/>
  <c r="BS121" i="3"/>
  <c r="BT121" i="3" s="1"/>
  <c r="BS215" i="3"/>
  <c r="BT215" i="3" s="1"/>
  <c r="BS75" i="3"/>
  <c r="BT75" i="3" s="1"/>
  <c r="BS69" i="3"/>
  <c r="BT69" i="3" s="1"/>
  <c r="BS41" i="3"/>
  <c r="BT41" i="3" s="1"/>
  <c r="BS112" i="3"/>
  <c r="BT112" i="3" s="1"/>
  <c r="BS199" i="3"/>
  <c r="BT199" i="3" s="1"/>
  <c r="BS165" i="3"/>
  <c r="BT165" i="3" s="1"/>
  <c r="BS120" i="3"/>
  <c r="BT120" i="3" s="1"/>
  <c r="BS102" i="3"/>
  <c r="BT102" i="3" s="1"/>
  <c r="BS131" i="3"/>
  <c r="BT131" i="3" s="1"/>
  <c r="BS242" i="3"/>
  <c r="BT242" i="3" s="1"/>
  <c r="BS229" i="3"/>
  <c r="BT229" i="3" s="1"/>
  <c r="BS180" i="3"/>
  <c r="BT180" i="3" s="1"/>
  <c r="BS182" i="3"/>
  <c r="BT182" i="3" s="1"/>
  <c r="BS132" i="3"/>
  <c r="BT132" i="3" s="1"/>
  <c r="BS163" i="3"/>
  <c r="BT163" i="3" s="1"/>
  <c r="BS233" i="3"/>
  <c r="BT233" i="3" s="1"/>
  <c r="BS181" i="3"/>
  <c r="BT181" i="3" s="1"/>
  <c r="BO167" i="3"/>
  <c r="BP167" i="3" s="1"/>
  <c r="BO62" i="3"/>
  <c r="BP62" i="3" s="1"/>
  <c r="BO218" i="3"/>
  <c r="BP218" i="3" s="1"/>
  <c r="BO250" i="3"/>
  <c r="BP250" i="3" s="1"/>
  <c r="BO199" i="3"/>
  <c r="BP199" i="3" s="1"/>
  <c r="BO114" i="3"/>
  <c r="BP114" i="3" s="1"/>
  <c r="BO225" i="3"/>
  <c r="BP225" i="3" s="1"/>
  <c r="BO203" i="3"/>
  <c r="BP203" i="3" s="1"/>
  <c r="BO108" i="3"/>
  <c r="BP108" i="3" s="1"/>
  <c r="BO149" i="3"/>
  <c r="BP149" i="3" s="1"/>
  <c r="BO185" i="3"/>
  <c r="BP185" i="3" s="1"/>
  <c r="BO116" i="3"/>
  <c r="BP116" i="3" s="1"/>
  <c r="BO85" i="3"/>
  <c r="BP85" i="3" s="1"/>
  <c r="BO52" i="3"/>
  <c r="BP52" i="3" s="1"/>
  <c r="BO177" i="3"/>
  <c r="BP177" i="3" s="1"/>
  <c r="BO272" i="3"/>
  <c r="BP272" i="3" s="1"/>
  <c r="BO226" i="3"/>
  <c r="BP226" i="3" s="1"/>
  <c r="BO204" i="3"/>
  <c r="BP204" i="3" s="1"/>
  <c r="BS92" i="3"/>
  <c r="BT92" i="3" s="1"/>
  <c r="BS254" i="3"/>
  <c r="BT254" i="3" s="1"/>
  <c r="BS37" i="3"/>
  <c r="BT37" i="3" s="1"/>
  <c r="BS101" i="3"/>
  <c r="BT101" i="3" s="1"/>
  <c r="BS155" i="3"/>
  <c r="BT155" i="3" s="1"/>
  <c r="BS239" i="3"/>
  <c r="BT239" i="3" s="1"/>
  <c r="BS179" i="3"/>
  <c r="BT179" i="3" s="1"/>
  <c r="BS115" i="3"/>
  <c r="BT115" i="3" s="1"/>
  <c r="BS249" i="3"/>
  <c r="BT249" i="3" s="1"/>
  <c r="BS235" i="3"/>
  <c r="BT235" i="3" s="1"/>
  <c r="BS48" i="3"/>
  <c r="BT48" i="3" s="1"/>
  <c r="BS124" i="3"/>
  <c r="BT124" i="3" s="1"/>
  <c r="BS274" i="3"/>
  <c r="BT274" i="3" s="1"/>
  <c r="BS273" i="3"/>
  <c r="BT273" i="3" s="1"/>
  <c r="BS125" i="3"/>
  <c r="BT125" i="3" s="1"/>
  <c r="BS79" i="3"/>
  <c r="BT79" i="3" s="1"/>
  <c r="BS184" i="3"/>
  <c r="BT184" i="3" s="1"/>
  <c r="BS62" i="3"/>
  <c r="BT62" i="3" s="1"/>
  <c r="BS134" i="3"/>
  <c r="BT134" i="3" s="1"/>
  <c r="BS59" i="3"/>
  <c r="BT59" i="3" s="1"/>
  <c r="BS194" i="3"/>
  <c r="BT194" i="3" s="1"/>
  <c r="BS42" i="3"/>
  <c r="BT42" i="3" s="1"/>
  <c r="BS275" i="3"/>
  <c r="BT275" i="3" s="1"/>
  <c r="BS205" i="3"/>
  <c r="BT205" i="3" s="1"/>
  <c r="BS139" i="3"/>
  <c r="BT139" i="3" s="1"/>
  <c r="BS227" i="3"/>
  <c r="BT227" i="3" s="1"/>
  <c r="BS185" i="3"/>
  <c r="BT185" i="3" s="1"/>
  <c r="BS89" i="3"/>
  <c r="BT89" i="3" s="1"/>
  <c r="BS225" i="3"/>
  <c r="BT225" i="3" s="1"/>
  <c r="BS50" i="3"/>
  <c r="BT50" i="3" s="1"/>
  <c r="BS186" i="3"/>
  <c r="BT186" i="3" s="1"/>
  <c r="BS219" i="3"/>
  <c r="BT219" i="3" s="1"/>
  <c r="BS247" i="3"/>
  <c r="BT247" i="3" s="1"/>
  <c r="BS145" i="3"/>
  <c r="BT145" i="3" s="1"/>
  <c r="BS237" i="3"/>
  <c r="BT237" i="3" s="1"/>
  <c r="BS271" i="3"/>
  <c r="BT271" i="3" s="1"/>
  <c r="BS76" i="3"/>
  <c r="BT76" i="3" s="1"/>
  <c r="BS264" i="3"/>
  <c r="BT264" i="3" s="1"/>
  <c r="BS118" i="3"/>
  <c r="BT118" i="3" s="1"/>
  <c r="BS228" i="3"/>
  <c r="BT228" i="3" s="1"/>
  <c r="BS143" i="3"/>
  <c r="BT143" i="3" s="1"/>
  <c r="BS269" i="3"/>
  <c r="BT269" i="3" s="1"/>
  <c r="BS258" i="3"/>
  <c r="BT258" i="3" s="1"/>
  <c r="BS74" i="3"/>
  <c r="BT74" i="3" s="1"/>
  <c r="BS224" i="3"/>
  <c r="BT224" i="3" s="1"/>
  <c r="BS111" i="3"/>
  <c r="BT111" i="3" s="1"/>
  <c r="BS156" i="3"/>
  <c r="BT156" i="3" s="1"/>
  <c r="BS36" i="3"/>
  <c r="BT36" i="3" s="1"/>
  <c r="BS226" i="3"/>
  <c r="BT226" i="3" s="1"/>
  <c r="BS255" i="3"/>
  <c r="BT255" i="3" s="1"/>
  <c r="BS197" i="3"/>
  <c r="BT197" i="3" s="1"/>
  <c r="BS52" i="3"/>
  <c r="BT52" i="3" s="1"/>
  <c r="BS191" i="3"/>
  <c r="BT191" i="3" s="1"/>
  <c r="BS189" i="3"/>
  <c r="BT189" i="3" s="1"/>
  <c r="BS162" i="3"/>
  <c r="BT162" i="3" s="1"/>
  <c r="BS177" i="3"/>
  <c r="BT177" i="3" s="1"/>
  <c r="BO274" i="3"/>
  <c r="BP274" i="3" s="1"/>
  <c r="E32" i="5"/>
  <c r="BO38" i="3"/>
  <c r="BP38" i="3" s="1"/>
  <c r="BO110" i="3"/>
  <c r="BP110" i="3" s="1"/>
  <c r="BO164" i="3"/>
  <c r="BP164" i="3" s="1"/>
  <c r="BO215" i="3"/>
  <c r="BP215" i="3" s="1"/>
  <c r="BO217" i="3"/>
  <c r="BP217" i="3" s="1"/>
  <c r="BO221" i="3"/>
  <c r="BP221" i="3" s="1"/>
  <c r="BO266" i="3"/>
  <c r="BP266" i="3" s="1"/>
  <c r="BO181" i="3"/>
  <c r="BP181" i="3" s="1"/>
  <c r="BO251" i="3"/>
  <c r="BP251" i="3" s="1"/>
  <c r="BO154" i="3"/>
  <c r="BP154" i="3" s="1"/>
  <c r="BO247" i="3"/>
  <c r="BP247" i="3" s="1"/>
  <c r="BO260" i="3"/>
  <c r="BP260" i="3" s="1"/>
  <c r="BO63" i="3"/>
  <c r="BP63" i="3" s="1"/>
  <c r="BO159" i="3"/>
  <c r="BP159" i="3" s="1"/>
  <c r="BO137" i="3"/>
  <c r="BP137" i="3" s="1"/>
  <c r="BO130" i="3"/>
  <c r="BP130" i="3" s="1"/>
  <c r="BO72" i="3"/>
  <c r="BP72" i="3" s="1"/>
  <c r="BO141" i="3"/>
  <c r="BP141" i="3" s="1"/>
  <c r="BO233" i="3"/>
  <c r="BP233" i="3" s="1"/>
  <c r="BO60" i="3"/>
  <c r="BP60" i="3" s="1"/>
  <c r="BO101" i="3"/>
  <c r="BP101" i="3" s="1"/>
  <c r="BO239" i="3"/>
  <c r="BP239" i="3" s="1"/>
  <c r="BO198" i="3"/>
  <c r="BP198" i="3" s="1"/>
  <c r="BO206" i="3"/>
  <c r="BP206" i="3" s="1"/>
  <c r="BO140" i="3"/>
  <c r="BP140" i="3" s="1"/>
  <c r="BO107" i="3"/>
  <c r="BP107" i="3" s="1"/>
  <c r="BO216" i="3"/>
  <c r="BP216" i="3" s="1"/>
  <c r="BO75" i="3"/>
  <c r="BP75" i="3" s="1"/>
  <c r="BO47" i="3"/>
  <c r="BP47" i="3" s="1"/>
  <c r="BO207" i="3"/>
  <c r="BP207" i="3" s="1"/>
  <c r="BO81" i="3"/>
  <c r="BP81" i="3" s="1"/>
  <c r="BO135" i="3"/>
  <c r="BP135" i="3" s="1"/>
  <c r="BO103" i="3"/>
  <c r="BP103" i="3" s="1"/>
  <c r="BO245" i="3"/>
  <c r="BP245" i="3" s="1"/>
  <c r="BO118" i="3"/>
  <c r="BP118" i="3" s="1"/>
  <c r="BO57" i="3"/>
  <c r="BP57" i="3" s="1"/>
  <c r="BO46" i="3"/>
  <c r="BP46" i="3" s="1"/>
  <c r="BO186" i="3"/>
  <c r="BP186" i="3" s="1"/>
  <c r="BO80" i="3"/>
  <c r="BP80" i="3" s="1"/>
  <c r="BO86" i="3"/>
  <c r="BP86" i="3" s="1"/>
  <c r="BO263" i="3"/>
  <c r="BP263" i="3" s="1"/>
  <c r="BO55" i="3"/>
  <c r="BP55" i="3" s="1"/>
  <c r="BO189" i="3"/>
  <c r="BP189" i="3" s="1"/>
  <c r="BO58" i="3"/>
  <c r="BP58" i="3" s="1"/>
  <c r="BO244" i="3"/>
  <c r="BP244" i="3" s="1"/>
  <c r="BO249" i="3"/>
  <c r="BP249" i="3" s="1"/>
  <c r="BO102" i="3"/>
  <c r="BP102" i="3" s="1"/>
  <c r="BO87" i="3"/>
  <c r="BP87" i="3" s="1"/>
  <c r="BO44" i="3"/>
  <c r="BP44" i="3" s="1"/>
  <c r="BO169" i="3"/>
  <c r="BP169" i="3" s="1"/>
  <c r="BO163" i="3"/>
  <c r="BP163" i="3" s="1"/>
  <c r="BO100" i="3"/>
  <c r="BP100" i="3" s="1"/>
  <c r="BO228" i="3"/>
  <c r="BP228" i="3" s="1"/>
  <c r="BO267" i="3"/>
  <c r="BP267" i="3" s="1"/>
  <c r="BO256" i="3"/>
  <c r="BP256" i="3" s="1"/>
  <c r="BO157" i="3"/>
  <c r="BP157" i="3" s="1"/>
  <c r="BO234" i="3"/>
  <c r="BP234" i="3" s="1"/>
  <c r="BO78" i="3"/>
  <c r="BP78" i="3" s="1"/>
  <c r="BO127" i="3"/>
  <c r="BP127" i="3" s="1"/>
  <c r="BO188" i="3"/>
  <c r="BP188" i="3" s="1"/>
  <c r="BO143" i="3"/>
  <c r="BP143" i="3" s="1"/>
  <c r="BO268" i="3"/>
  <c r="BP268" i="3" s="1"/>
  <c r="BO112" i="3"/>
  <c r="BP112" i="3" s="1"/>
  <c r="BO152" i="3"/>
  <c r="BP152" i="3" s="1"/>
  <c r="BO35" i="3"/>
  <c r="BP35" i="3" s="1"/>
  <c r="BO205" i="3"/>
  <c r="BP205" i="3" s="1"/>
  <c r="BO220" i="3"/>
  <c r="BP220" i="3" s="1"/>
  <c r="BO111" i="3"/>
  <c r="BP111" i="3" s="1"/>
  <c r="BO147" i="3"/>
  <c r="BP147" i="3" s="1"/>
  <c r="BO191" i="3"/>
  <c r="BP191" i="3" s="1"/>
  <c r="BO151" i="3"/>
  <c r="BP151" i="3" s="1"/>
  <c r="BO196" i="3"/>
  <c r="BP196" i="3" s="1"/>
  <c r="BO98" i="3"/>
  <c r="BP98" i="3" s="1"/>
  <c r="BO69" i="3"/>
  <c r="BP69" i="3" s="1"/>
  <c r="BO120" i="3"/>
  <c r="BP120" i="3" s="1"/>
  <c r="BO104" i="3"/>
  <c r="BP104" i="3" s="1"/>
  <c r="BO146" i="3"/>
  <c r="BP146" i="3" s="1"/>
  <c r="BO136" i="3"/>
  <c r="BP136" i="3" s="1"/>
  <c r="BO214" i="3"/>
  <c r="BP214" i="3" s="1"/>
  <c r="BO193" i="3"/>
  <c r="BP193" i="3" s="1"/>
  <c r="BO125" i="3"/>
  <c r="BP125" i="3" s="1"/>
  <c r="BO223" i="3"/>
  <c r="BP223" i="3" s="1"/>
  <c r="BO40" i="3"/>
  <c r="BP40" i="3" s="1"/>
  <c r="BO126" i="3"/>
  <c r="BP126" i="3" s="1"/>
  <c r="BO139" i="3"/>
  <c r="BP139" i="3" s="1"/>
  <c r="BO224" i="3"/>
  <c r="BP224" i="3" s="1"/>
  <c r="BO121" i="3"/>
  <c r="BP121" i="3" s="1"/>
  <c r="BO138" i="3"/>
  <c r="BP138" i="3" s="1"/>
  <c r="BO208" i="3"/>
  <c r="BP208" i="3" s="1"/>
  <c r="BO175" i="3"/>
  <c r="BP175" i="3" s="1"/>
  <c r="BO231" i="3"/>
  <c r="BP231" i="3" s="1"/>
  <c r="BO172" i="3"/>
  <c r="BP172" i="3" s="1"/>
  <c r="BO271" i="3"/>
  <c r="BP271" i="3" s="1"/>
  <c r="BO264" i="3"/>
  <c r="BP264" i="3" s="1"/>
  <c r="BO89" i="3"/>
  <c r="BP89" i="3" s="1"/>
  <c r="BO142" i="3"/>
  <c r="BP142" i="3" s="1"/>
  <c r="BO155" i="3"/>
  <c r="BP155" i="3" s="1"/>
  <c r="BO84" i="3"/>
  <c r="BP84" i="3" s="1"/>
  <c r="BO105" i="3"/>
  <c r="BP105" i="3" s="1"/>
  <c r="BO150" i="3"/>
  <c r="BP150" i="3" s="1"/>
  <c r="BO131" i="3"/>
  <c r="BP131" i="3" s="1"/>
  <c r="BO174" i="3"/>
  <c r="BP174" i="3" s="1"/>
  <c r="BO171" i="3"/>
  <c r="BP171" i="3" s="1"/>
  <c r="BO160" i="3"/>
  <c r="BP160" i="3" s="1"/>
  <c r="BO64" i="3"/>
  <c r="BP64" i="3" s="1"/>
  <c r="BO200" i="3"/>
  <c r="BP200" i="3" s="1"/>
  <c r="BO134" i="3"/>
  <c r="BP134" i="3" s="1"/>
  <c r="BO243" i="3"/>
  <c r="BP243" i="3" s="1"/>
  <c r="BO184" i="3"/>
  <c r="BP184" i="3" s="1"/>
  <c r="BO36" i="3"/>
  <c r="BP36" i="3" s="1"/>
  <c r="BO91" i="3"/>
  <c r="BP91" i="3" s="1"/>
  <c r="BO109" i="3"/>
  <c r="BP109" i="3" s="1"/>
  <c r="BO96" i="3"/>
  <c r="BP96" i="3" s="1"/>
  <c r="BO161" i="3"/>
  <c r="BP161" i="3" s="1"/>
  <c r="BO180" i="3"/>
  <c r="BP180" i="3" s="1"/>
  <c r="BO144" i="3"/>
  <c r="BP144" i="3" s="1"/>
  <c r="BO117" i="3"/>
  <c r="BP117" i="3" s="1"/>
  <c r="BO213" i="3"/>
  <c r="BP213" i="3" s="1"/>
  <c r="BO273" i="3"/>
  <c r="BP273" i="3" s="1"/>
  <c r="BO39" i="3"/>
  <c r="BP39" i="3" s="1"/>
  <c r="BO211" i="3"/>
  <c r="BP211" i="3" s="1"/>
  <c r="BO187" i="3"/>
  <c r="BP187" i="3" s="1"/>
  <c r="BO162" i="3"/>
  <c r="BP162" i="3" s="1"/>
  <c r="BO195" i="3"/>
  <c r="BP195" i="3" s="1"/>
  <c r="BO68" i="3"/>
  <c r="BP68" i="3" s="1"/>
  <c r="BO132" i="3"/>
  <c r="BP132" i="3" s="1"/>
  <c r="BO133" i="3"/>
  <c r="BP133" i="3" s="1"/>
  <c r="BO192" i="3"/>
  <c r="BP192" i="3" s="1"/>
  <c r="BO176" i="3"/>
  <c r="BP176" i="3" s="1"/>
  <c r="BO258" i="3"/>
  <c r="BP258" i="3" s="1"/>
  <c r="BO43" i="3"/>
  <c r="BP43" i="3" s="1"/>
  <c r="BO170" i="3"/>
  <c r="BP170" i="3" s="1"/>
  <c r="BO183" i="3"/>
  <c r="BP183" i="3" s="1"/>
  <c r="BO242" i="3"/>
  <c r="BP242" i="3" s="1"/>
  <c r="BO173" i="3"/>
  <c r="BP173" i="3" s="1"/>
  <c r="BO79" i="3"/>
  <c r="BP79" i="3" s="1"/>
  <c r="BO236" i="3"/>
  <c r="BP236" i="3" s="1"/>
  <c r="BO129" i="3"/>
  <c r="BP129" i="3" s="1"/>
  <c r="BO70" i="3"/>
  <c r="BP70" i="3" s="1"/>
  <c r="BO194" i="3"/>
  <c r="BP194" i="3" s="1"/>
  <c r="BO82" i="3"/>
  <c r="BP82" i="3" s="1"/>
  <c r="BO153" i="3"/>
  <c r="BP153" i="3" s="1"/>
  <c r="BO261" i="3"/>
  <c r="BP261" i="3" s="1"/>
  <c r="BO158" i="3"/>
  <c r="BP158" i="3" s="1"/>
  <c r="BO265" i="3"/>
  <c r="BP265" i="3" s="1"/>
  <c r="BO74" i="3"/>
  <c r="BP74" i="3" s="1"/>
  <c r="BO201" i="3"/>
  <c r="BP201" i="3" s="1"/>
  <c r="BO49" i="3"/>
  <c r="BP49" i="3" s="1"/>
  <c r="BO77" i="3"/>
  <c r="BP77" i="3" s="1"/>
  <c r="BO246" i="3"/>
  <c r="BP246" i="3" s="1"/>
  <c r="BO88" i="3"/>
  <c r="BP88" i="3" s="1"/>
  <c r="BO255" i="3"/>
  <c r="BP255" i="3" s="1"/>
  <c r="BO65" i="3"/>
  <c r="BP65" i="3" s="1"/>
  <c r="BO67" i="3"/>
  <c r="BP67" i="3" s="1"/>
  <c r="BO145" i="3"/>
  <c r="BP145" i="3" s="1"/>
  <c r="BO257" i="3"/>
  <c r="BP257" i="3" s="1"/>
  <c r="BO179" i="3"/>
  <c r="BP179" i="3" s="1"/>
  <c r="BO238" i="3"/>
  <c r="BP238" i="3" s="1"/>
  <c r="BO92" i="3"/>
  <c r="BP92" i="3" s="1"/>
  <c r="BO51" i="3"/>
  <c r="BP51" i="3" s="1"/>
  <c r="BO275" i="3"/>
  <c r="BP275" i="3" s="1"/>
  <c r="BO219" i="3"/>
  <c r="BP219" i="3" s="1"/>
  <c r="BK177" i="3" l="1"/>
  <c r="BL177" i="3" s="1"/>
  <c r="BK186" i="3"/>
  <c r="BL186" i="3" s="1"/>
  <c r="BK91" i="3"/>
  <c r="BL91" i="3" s="1"/>
  <c r="BK203" i="3"/>
  <c r="BL203" i="3" s="1"/>
  <c r="BK110" i="3"/>
  <c r="BL110" i="3" s="1"/>
  <c r="BK161" i="3"/>
  <c r="BL161" i="3" s="1"/>
  <c r="BK236" i="3"/>
  <c r="BL236" i="3" s="1"/>
  <c r="BK70" i="3"/>
  <c r="BL70" i="3" s="1"/>
  <c r="BK106" i="3"/>
  <c r="BL106" i="3" s="1"/>
  <c r="BK224" i="3"/>
  <c r="BL224" i="3" s="1"/>
  <c r="BK78" i="3"/>
  <c r="BL78" i="3" s="1"/>
  <c r="BK155" i="3"/>
  <c r="BL155" i="3" s="1"/>
  <c r="BK145" i="3"/>
  <c r="BL145" i="3" s="1"/>
  <c r="BK72" i="3"/>
  <c r="BL72" i="3" s="1"/>
  <c r="BK82" i="3"/>
  <c r="BL82" i="3" s="1"/>
  <c r="BK182" i="3"/>
  <c r="BL182" i="3" s="1"/>
  <c r="BK57" i="3"/>
  <c r="BL57" i="3" s="1"/>
  <c r="BK253" i="3"/>
  <c r="BL253" i="3" s="1"/>
  <c r="BK209" i="3"/>
  <c r="BL209" i="3" s="1"/>
  <c r="BK64" i="3"/>
  <c r="BL64" i="3" s="1"/>
  <c r="BK195" i="3"/>
  <c r="BL195" i="3" s="1"/>
  <c r="BK223" i="3"/>
  <c r="BL223" i="3" s="1"/>
  <c r="BK132" i="3"/>
  <c r="BL132" i="3" s="1"/>
  <c r="BK232" i="3"/>
  <c r="BL232" i="3" s="1"/>
  <c r="BK258" i="3"/>
  <c r="BL258" i="3" s="1"/>
  <c r="BK235" i="3"/>
  <c r="BL235" i="3" s="1"/>
  <c r="BK68" i="3"/>
  <c r="BL68" i="3" s="1"/>
  <c r="BK192" i="3"/>
  <c r="BL192" i="3" s="1"/>
  <c r="BK242" i="3"/>
  <c r="BL242" i="3" s="1"/>
  <c r="BK17" i="3"/>
  <c r="BL17" i="3" s="1"/>
  <c r="BK268" i="3"/>
  <c r="BL268" i="3" s="1"/>
  <c r="BK212" i="3"/>
  <c r="BL212" i="3" s="1"/>
  <c r="BK134" i="3"/>
  <c r="BL134" i="3" s="1"/>
  <c r="BK143" i="3"/>
  <c r="BL143" i="3" s="1"/>
  <c r="BK46" i="3"/>
  <c r="BL46" i="3" s="1"/>
  <c r="BK152" i="3"/>
  <c r="BL152" i="3" s="1"/>
  <c r="BK273" i="3"/>
  <c r="BL273" i="3" s="1"/>
  <c r="BK113" i="3"/>
  <c r="BL113" i="3" s="1"/>
  <c r="BK272" i="3"/>
  <c r="BL272" i="3" s="1"/>
  <c r="BK125" i="3"/>
  <c r="BL125" i="3" s="1"/>
  <c r="BK20" i="3"/>
  <c r="BL20" i="3" s="1"/>
  <c r="BK239" i="3"/>
  <c r="BL239" i="3" s="1"/>
  <c r="BK117" i="3"/>
  <c r="BL117" i="3" s="1"/>
  <c r="BK185" i="3"/>
  <c r="BL185" i="3" s="1"/>
  <c r="BK22" i="3"/>
  <c r="BL22" i="3" s="1"/>
  <c r="BK61" i="3"/>
  <c r="BL61" i="3" s="1"/>
  <c r="BK79" i="3"/>
  <c r="BL79" i="3" s="1"/>
  <c r="BK218" i="3"/>
  <c r="BL218" i="3" s="1"/>
  <c r="BK101" i="3"/>
  <c r="BL101" i="3" s="1"/>
  <c r="BK84" i="3"/>
  <c r="BL84" i="3" s="1"/>
  <c r="BK130" i="3"/>
  <c r="BL130" i="3" s="1"/>
  <c r="BK252" i="3"/>
  <c r="BL252" i="3" s="1"/>
  <c r="BK173" i="3"/>
  <c r="BL173" i="3" s="1"/>
  <c r="BK191" i="3"/>
  <c r="BL191" i="3" s="1"/>
  <c r="BK36" i="3"/>
  <c r="BL36" i="3" s="1"/>
  <c r="BK85" i="3"/>
  <c r="BL85" i="3" s="1"/>
  <c r="BK89" i="3"/>
  <c r="BL89" i="3" s="1"/>
  <c r="BK138" i="3"/>
  <c r="BL138" i="3" s="1"/>
  <c r="BK126" i="3"/>
  <c r="BL126" i="3" s="1"/>
  <c r="BK189" i="3"/>
  <c r="BL189" i="3" s="1"/>
  <c r="BK128" i="3"/>
  <c r="BL128" i="3" s="1"/>
  <c r="BK151" i="3"/>
  <c r="BL151" i="3" s="1"/>
  <c r="BK210" i="3"/>
  <c r="BL210" i="3" s="1"/>
  <c r="BK194" i="3"/>
  <c r="BL194" i="3" s="1"/>
  <c r="BK120" i="3"/>
  <c r="BL120" i="3" s="1"/>
  <c r="BK29" i="3"/>
  <c r="BL29" i="3" s="1"/>
  <c r="BK175" i="3"/>
  <c r="BL175" i="3" s="1"/>
  <c r="BK103" i="3"/>
  <c r="BL103" i="3" s="1"/>
  <c r="BK217" i="3"/>
  <c r="BL217" i="3" s="1"/>
  <c r="BK81" i="3"/>
  <c r="BL81" i="3" s="1"/>
  <c r="BK238" i="3"/>
  <c r="BL238" i="3" s="1"/>
  <c r="BK44" i="3"/>
  <c r="BL44" i="3" s="1"/>
  <c r="BK166" i="3"/>
  <c r="BL166" i="3" s="1"/>
  <c r="BK245" i="3"/>
  <c r="BL245" i="3" s="1"/>
  <c r="BK179" i="3"/>
  <c r="BL179" i="3" s="1"/>
  <c r="BK102" i="3"/>
  <c r="BL102" i="3" s="1"/>
  <c r="BK229" i="3"/>
  <c r="BL229" i="3" s="1"/>
  <c r="BK137" i="3"/>
  <c r="BL137" i="3" s="1"/>
  <c r="BK247" i="3"/>
  <c r="BL247" i="3" s="1"/>
  <c r="BK266" i="3"/>
  <c r="BL266" i="3" s="1"/>
  <c r="BK158" i="3"/>
  <c r="BL158" i="3" s="1"/>
  <c r="BK226" i="3"/>
  <c r="BL226" i="3" s="1"/>
  <c r="BK263" i="3"/>
  <c r="BL263" i="3" s="1"/>
  <c r="BK124" i="3"/>
  <c r="BL124" i="3" s="1"/>
  <c r="BK170" i="3"/>
  <c r="BL170" i="3" s="1"/>
  <c r="BK66" i="3"/>
  <c r="BL66" i="3" s="1"/>
  <c r="BK39" i="3"/>
  <c r="BL39" i="3" s="1"/>
  <c r="BK118" i="3"/>
  <c r="BL118" i="3" s="1"/>
  <c r="BK23" i="3"/>
  <c r="BL23" i="3" s="1"/>
  <c r="BK55" i="3"/>
  <c r="BL55" i="3" s="1"/>
  <c r="BK48" i="3"/>
  <c r="BL48" i="3" s="1"/>
  <c r="BK42" i="3"/>
  <c r="BL42" i="3" s="1"/>
  <c r="BK108" i="3"/>
  <c r="BL108" i="3" s="1"/>
  <c r="BK49" i="3"/>
  <c r="BL49" i="3" s="1"/>
  <c r="BK154" i="3"/>
  <c r="BL154" i="3" s="1"/>
  <c r="BK254" i="3"/>
  <c r="BL254" i="3" s="1"/>
  <c r="BK174" i="3"/>
  <c r="BL174" i="3" s="1"/>
  <c r="BK168" i="3"/>
  <c r="BL168" i="3" s="1"/>
  <c r="BK220" i="3"/>
  <c r="BL220" i="3" s="1"/>
  <c r="BK30" i="3"/>
  <c r="BL30" i="3" s="1"/>
  <c r="BK62" i="3"/>
  <c r="BL62" i="3" s="1"/>
  <c r="BK165" i="3"/>
  <c r="BL165" i="3" s="1"/>
  <c r="BK31" i="3"/>
  <c r="BL31" i="3" s="1"/>
  <c r="BK114" i="3"/>
  <c r="BL114" i="3" s="1"/>
  <c r="BK188" i="3"/>
  <c r="BL188" i="3" s="1"/>
  <c r="BK53" i="3"/>
  <c r="BL53" i="3" s="1"/>
  <c r="BK163" i="3"/>
  <c r="BL163" i="3" s="1"/>
  <c r="BK75" i="3"/>
  <c r="BL75" i="3" s="1"/>
  <c r="BK228" i="3"/>
  <c r="BL228" i="3" s="1"/>
  <c r="BK178" i="3"/>
  <c r="BL178" i="3" s="1"/>
  <c r="BK50" i="3"/>
  <c r="BL50" i="3" s="1"/>
  <c r="BK248" i="3"/>
  <c r="BL248" i="3" s="1"/>
  <c r="BK257" i="3"/>
  <c r="BL257" i="3" s="1"/>
  <c r="BK160" i="3"/>
  <c r="BL160" i="3" s="1"/>
  <c r="BK250" i="3"/>
  <c r="BL250" i="3" s="1"/>
  <c r="BK202" i="3"/>
  <c r="BL202" i="3" s="1"/>
  <c r="BK19" i="3"/>
  <c r="BL19" i="3" s="1"/>
  <c r="BK35" i="3"/>
  <c r="BL35" i="3" s="1"/>
  <c r="BK237" i="3"/>
  <c r="BL237" i="3" s="1"/>
  <c r="BK136" i="3"/>
  <c r="BL136" i="3" s="1"/>
  <c r="BK274" i="3"/>
  <c r="BL274" i="3" s="1"/>
  <c r="BK233" i="3"/>
  <c r="BL233" i="3" s="1"/>
  <c r="BK251" i="3"/>
  <c r="BL251" i="3" s="1"/>
  <c r="BK176" i="3"/>
  <c r="BL176" i="3" s="1"/>
  <c r="BK76" i="3"/>
  <c r="BL76" i="3" s="1"/>
  <c r="BK200" i="3"/>
  <c r="BL200" i="3" s="1"/>
  <c r="BK59" i="3"/>
  <c r="BL59" i="3" s="1"/>
  <c r="BK150" i="3"/>
  <c r="BL150" i="3" s="1"/>
  <c r="BK199" i="3"/>
  <c r="BL199" i="3" s="1"/>
  <c r="BK196" i="3"/>
  <c r="BL196" i="3" s="1"/>
  <c r="BK172" i="3"/>
  <c r="BL172" i="3" s="1"/>
  <c r="BK96" i="3"/>
  <c r="BL96" i="3" s="1"/>
  <c r="BK271" i="3"/>
  <c r="BL271" i="3" s="1"/>
  <c r="BK94" i="3"/>
  <c r="BL94" i="3" s="1"/>
  <c r="BK133" i="3"/>
  <c r="BL133" i="3" s="1"/>
  <c r="BK88" i="3"/>
  <c r="BL88" i="3" s="1"/>
  <c r="BK231" i="3"/>
  <c r="BL231" i="3" s="1"/>
  <c r="BK187" i="3"/>
  <c r="BL187" i="3" s="1"/>
  <c r="BK80" i="3"/>
  <c r="BL80" i="3" s="1"/>
  <c r="BK25" i="3"/>
  <c r="BL25" i="3" s="1"/>
  <c r="BK52" i="3"/>
  <c r="BL52" i="3" s="1"/>
  <c r="BK197" i="3"/>
  <c r="BL197" i="3" s="1"/>
  <c r="BK104" i="3"/>
  <c r="BL104" i="3" s="1"/>
  <c r="BK87" i="3"/>
  <c r="BL87" i="3" s="1"/>
  <c r="BK60" i="3"/>
  <c r="BL60" i="3" s="1"/>
  <c r="BK28" i="3"/>
  <c r="BL28" i="3" s="1"/>
  <c r="BK205" i="3"/>
  <c r="BL205" i="3" s="1"/>
  <c r="BK95" i="3"/>
  <c r="BL95" i="3" s="1"/>
  <c r="BK140" i="3"/>
  <c r="BL140" i="3" s="1"/>
  <c r="BK148" i="3"/>
  <c r="BL148" i="3" s="1"/>
  <c r="BK259" i="3"/>
  <c r="BL259" i="3" s="1"/>
  <c r="BK93" i="3"/>
  <c r="BL93" i="3" s="1"/>
  <c r="BK244" i="3"/>
  <c r="BL244" i="3" s="1"/>
  <c r="BK208" i="3"/>
  <c r="BL208" i="3" s="1"/>
  <c r="BK213" i="3"/>
  <c r="BL213" i="3" s="1"/>
  <c r="BK63" i="3"/>
  <c r="BL63" i="3" s="1"/>
  <c r="BK240" i="3"/>
  <c r="BL240" i="3" s="1"/>
  <c r="BK90" i="3"/>
  <c r="BL90" i="3" s="1"/>
  <c r="BK38" i="3"/>
  <c r="BL38" i="3" s="1"/>
  <c r="BK97" i="3"/>
  <c r="BL97" i="3" s="1"/>
  <c r="BK129" i="3"/>
  <c r="BL129" i="3" s="1"/>
  <c r="BK105" i="3"/>
  <c r="BL105" i="3" s="1"/>
  <c r="BK65" i="3"/>
  <c r="BL65" i="3" s="1"/>
  <c r="BK156" i="3"/>
  <c r="BL156" i="3" s="1"/>
  <c r="BK51" i="3"/>
  <c r="BL51" i="3" s="1"/>
  <c r="BK153" i="3"/>
  <c r="BL153" i="3" s="1"/>
  <c r="BK147" i="3"/>
  <c r="BL147" i="3" s="1"/>
  <c r="BK100" i="3"/>
  <c r="BL100" i="3" s="1"/>
  <c r="BK270" i="3"/>
  <c r="BL270" i="3" s="1"/>
  <c r="BK69" i="3"/>
  <c r="BL69" i="3" s="1"/>
  <c r="BK146" i="3"/>
  <c r="BL146" i="3" s="1"/>
  <c r="BK56" i="3"/>
  <c r="BL56" i="3" s="1"/>
  <c r="BK169" i="3"/>
  <c r="BL169" i="3" s="1"/>
  <c r="BK221" i="3"/>
  <c r="BL221" i="3" s="1"/>
  <c r="BK222" i="3"/>
  <c r="BL222" i="3" s="1"/>
  <c r="BK246" i="3"/>
  <c r="BL246" i="3" s="1"/>
  <c r="BK99" i="3"/>
  <c r="BL99" i="3" s="1"/>
  <c r="BK86" i="3"/>
  <c r="BL86" i="3" s="1"/>
  <c r="BK27" i="3"/>
  <c r="BL27" i="3" s="1"/>
  <c r="BK40" i="3"/>
  <c r="BL40" i="3" s="1"/>
  <c r="BK16" i="3"/>
  <c r="BL16" i="3" s="1"/>
  <c r="BK249" i="3"/>
  <c r="BL249" i="3" s="1"/>
  <c r="BK171" i="3"/>
  <c r="BL171" i="3" s="1"/>
  <c r="BK204" i="3"/>
  <c r="BL204" i="3" s="1"/>
  <c r="BK92" i="3"/>
  <c r="BL92" i="3" s="1"/>
  <c r="BK256" i="3"/>
  <c r="BL256" i="3" s="1"/>
  <c r="BK141" i="3"/>
  <c r="BL141" i="3" s="1"/>
  <c r="BK139" i="3"/>
  <c r="BL139" i="3" s="1"/>
  <c r="BK264" i="3"/>
  <c r="BL264" i="3" s="1"/>
  <c r="BK33" i="3"/>
  <c r="BL33" i="3" s="1"/>
  <c r="BK167" i="3"/>
  <c r="BL167" i="3" s="1"/>
  <c r="T166" i="4"/>
  <c r="T167" i="4" s="1"/>
  <c r="T168" i="4" s="1"/>
  <c r="T169" i="4" s="1"/>
  <c r="T170" i="4" s="1"/>
  <c r="T171" i="4" s="1"/>
  <c r="T172" i="4" s="1"/>
  <c r="T173" i="4" s="1"/>
  <c r="T174" i="4" s="1"/>
  <c r="T175" i="4" s="1"/>
  <c r="T176" i="4" s="1"/>
  <c r="T177" i="4" s="1"/>
  <c r="T178" i="4" s="1"/>
  <c r="T179" i="4" s="1"/>
  <c r="T180" i="4" s="1"/>
  <c r="T181" i="4" s="1"/>
  <c r="T182" i="4" s="1"/>
  <c r="T183" i="4" s="1"/>
  <c r="T184" i="4" s="1"/>
  <c r="T185" i="4" s="1"/>
  <c r="T186" i="4" s="1"/>
  <c r="T187" i="4" s="1"/>
  <c r="T188" i="4" s="1"/>
  <c r="T189" i="4" s="1"/>
  <c r="T190" i="4" s="1"/>
  <c r="T191" i="4" s="1"/>
  <c r="T192" i="4" s="1"/>
  <c r="T193" i="4" s="1"/>
  <c r="T194" i="4" s="1"/>
  <c r="T195" i="4" s="1"/>
  <c r="T196" i="4" s="1"/>
  <c r="T197" i="4" s="1"/>
  <c r="T198" i="4" s="1"/>
  <c r="T199" i="4" s="1"/>
  <c r="T200" i="4" s="1"/>
  <c r="T201" i="4" s="1"/>
  <c r="T202" i="4" s="1"/>
  <c r="T203" i="4" s="1"/>
  <c r="T204" i="4" s="1"/>
  <c r="T205" i="4" s="1"/>
  <c r="T206" i="4" s="1"/>
  <c r="T207" i="4" s="1"/>
  <c r="T208" i="4" s="1"/>
  <c r="T209" i="4" s="1"/>
  <c r="T210" i="4" s="1"/>
  <c r="T211" i="4" s="1"/>
  <c r="T212" i="4" s="1"/>
  <c r="T213" i="4" s="1"/>
  <c r="T214" i="4" s="1"/>
  <c r="T215" i="4" s="1"/>
  <c r="T216" i="4" s="1"/>
  <c r="T217" i="4" s="1"/>
  <c r="T218" i="4" s="1"/>
  <c r="T219" i="4" s="1"/>
  <c r="T220" i="4" s="1"/>
  <c r="T221" i="4" s="1"/>
  <c r="T222" i="4" s="1"/>
  <c r="T223" i="4" s="1"/>
  <c r="T224" i="4" s="1"/>
  <c r="T225" i="4" s="1"/>
  <c r="T226" i="4" s="1"/>
  <c r="T227" i="4" s="1"/>
  <c r="T228" i="4" s="1"/>
  <c r="T229" i="4" s="1"/>
  <c r="T230" i="4" s="1"/>
  <c r="T231" i="4" s="1"/>
  <c r="T232" i="4" s="1"/>
  <c r="T233" i="4" s="1"/>
  <c r="T234" i="4" s="1"/>
  <c r="T235" i="4" s="1"/>
  <c r="T236" i="4" s="1"/>
  <c r="T237" i="4" s="1"/>
  <c r="T238" i="4" s="1"/>
  <c r="T239" i="4" s="1"/>
  <c r="T240" i="4" s="1"/>
  <c r="T241" i="4" s="1"/>
  <c r="T242" i="4" s="1"/>
  <c r="T243" i="4" s="1"/>
  <c r="T244" i="4" s="1"/>
  <c r="T245" i="4" s="1"/>
  <c r="T246" i="4" s="1"/>
  <c r="T247" i="4" s="1"/>
  <c r="T248" i="4" s="1"/>
  <c r="T249" i="4" s="1"/>
  <c r="T250" i="4" s="1"/>
  <c r="T251" i="4" s="1"/>
  <c r="T252" i="4" s="1"/>
  <c r="T253" i="4" s="1"/>
  <c r="T254" i="4" s="1"/>
  <c r="T255" i="4" s="1"/>
  <c r="T256" i="4" s="1"/>
  <c r="T257" i="4" s="1"/>
  <c r="T258" i="4" s="1"/>
  <c r="T259" i="4" s="1"/>
  <c r="T260" i="4" s="1"/>
  <c r="T261" i="4" s="1"/>
  <c r="T262" i="4" s="1"/>
  <c r="T263" i="4" s="1"/>
  <c r="T264" i="4" s="1"/>
  <c r="T265" i="4" s="1"/>
  <c r="T266" i="4" s="1"/>
  <c r="T267" i="4" s="1"/>
  <c r="T268" i="4" s="1"/>
  <c r="T269" i="4" s="1"/>
  <c r="T270" i="4" s="1"/>
  <c r="T271" i="4" s="1"/>
  <c r="T272" i="4" s="1"/>
  <c r="T273" i="4" s="1"/>
  <c r="T274" i="4" s="1"/>
  <c r="T275" i="4" s="1"/>
  <c r="T276" i="4" s="1"/>
  <c r="T277" i="4" s="1"/>
  <c r="T278" i="4" s="1"/>
  <c r="T279" i="4" s="1"/>
  <c r="T280" i="4" s="1"/>
  <c r="T281" i="4" s="1"/>
  <c r="T282" i="4" s="1"/>
  <c r="T283" i="4" s="1"/>
  <c r="T284" i="4" s="1"/>
  <c r="T285" i="4" s="1"/>
  <c r="T286" i="4" s="1"/>
  <c r="T287" i="4" s="1"/>
  <c r="T288" i="4" s="1"/>
  <c r="T289" i="4" s="1"/>
  <c r="T290" i="4" s="1"/>
  <c r="T291" i="4" s="1"/>
  <c r="T292" i="4" s="1"/>
  <c r="T293" i="4" s="1"/>
  <c r="T294" i="4" s="1"/>
  <c r="T295" i="4" s="1"/>
  <c r="T296" i="4" s="1"/>
  <c r="T297" i="4" s="1"/>
  <c r="T298" i="4" s="1"/>
  <c r="T299" i="4" s="1"/>
  <c r="T300" i="4" s="1"/>
  <c r="T301" i="4" s="1"/>
  <c r="T302" i="4" s="1"/>
  <c r="T303" i="4" s="1"/>
  <c r="T304" i="4" s="1"/>
  <c r="T305" i="4" s="1"/>
  <c r="T306" i="4" s="1"/>
  <c r="T307" i="4" s="1"/>
  <c r="T308" i="4" s="1"/>
  <c r="T309" i="4" s="1"/>
  <c r="T310" i="4" s="1"/>
  <c r="T311" i="4" s="1"/>
  <c r="T312" i="4" s="1"/>
  <c r="T313" i="4" s="1"/>
  <c r="T314" i="4" s="1"/>
  <c r="T315" i="4" s="1"/>
  <c r="T316" i="4" s="1"/>
  <c r="T317" i="4" s="1"/>
  <c r="T318" i="4" s="1"/>
  <c r="T319" i="4" s="1"/>
  <c r="T320" i="4" s="1"/>
  <c r="T321" i="4" s="1"/>
  <c r="T322" i="4" s="1"/>
  <c r="T323" i="4" s="1"/>
  <c r="T324" i="4" s="1"/>
  <c r="T325" i="4" s="1"/>
  <c r="AE62" i="4"/>
  <c r="AE107" i="4"/>
  <c r="AI188" i="4"/>
  <c r="AD70" i="4"/>
  <c r="AD72" i="4"/>
  <c r="AD230" i="4"/>
  <c r="AF165" i="4"/>
  <c r="AF93" i="4"/>
  <c r="AF77" i="4"/>
  <c r="AI179" i="4"/>
  <c r="AF133" i="4"/>
  <c r="AI57" i="4"/>
  <c r="AC180" i="4"/>
  <c r="AD71" i="4"/>
  <c r="AE231" i="4"/>
  <c r="AC25" i="4"/>
  <c r="AC218" i="4"/>
  <c r="AE197" i="4"/>
  <c r="AC26" i="4"/>
  <c r="AE160" i="4"/>
  <c r="AF210" i="4"/>
  <c r="AC123" i="4"/>
  <c r="AC143" i="4"/>
  <c r="AE103" i="4"/>
  <c r="AC148" i="4"/>
  <c r="AC128" i="4"/>
  <c r="AF135" i="4"/>
  <c r="AF61" i="4"/>
  <c r="AI132" i="4"/>
  <c r="AI66" i="4"/>
  <c r="AI243" i="4"/>
  <c r="AE169" i="4"/>
  <c r="AE22" i="4"/>
  <c r="AE211" i="4"/>
  <c r="AE20" i="4"/>
  <c r="AI9" i="4"/>
  <c r="AI20" i="4"/>
  <c r="AF92" i="4"/>
  <c r="AI126" i="4"/>
  <c r="AC200" i="4"/>
  <c r="AI23" i="4"/>
  <c r="AD164" i="4"/>
  <c r="AD247" i="4"/>
  <c r="AI257" i="4"/>
  <c r="AD209" i="4"/>
  <c r="AI124" i="4"/>
  <c r="AC63" i="4"/>
  <c r="AE43" i="4"/>
  <c r="AF34" i="4"/>
  <c r="AE161" i="4"/>
  <c r="AD167" i="4"/>
  <c r="AD182" i="4"/>
  <c r="AD56" i="4"/>
  <c r="AE91" i="4"/>
  <c r="AD264" i="4"/>
  <c r="AD68" i="4"/>
  <c r="AE30" i="4"/>
  <c r="AD123" i="4"/>
  <c r="AC216" i="4"/>
  <c r="AE222" i="4"/>
  <c r="AF65" i="4"/>
  <c r="AF104" i="4"/>
  <c r="AC22" i="4"/>
  <c r="AE156" i="4"/>
  <c r="AF40" i="4"/>
  <c r="AI29" i="4"/>
  <c r="AF91" i="4"/>
  <c r="AE35" i="4"/>
  <c r="AF124" i="4"/>
  <c r="AF128" i="4"/>
  <c r="AC37" i="4"/>
  <c r="AI203" i="4"/>
  <c r="AC42" i="4"/>
  <c r="AD80" i="4"/>
  <c r="AE141" i="4"/>
  <c r="AC185" i="4"/>
  <c r="AC13" i="4"/>
  <c r="AF235" i="4"/>
  <c r="AC6" i="4"/>
  <c r="AI199" i="4"/>
  <c r="AE123" i="4"/>
  <c r="AI226" i="4"/>
  <c r="AC181" i="4"/>
  <c r="AI45" i="4"/>
  <c r="AI114" i="4"/>
  <c r="AI222" i="4"/>
  <c r="AE81" i="4"/>
  <c r="AC213" i="4"/>
  <c r="AD155" i="4"/>
  <c r="AE225" i="4"/>
  <c r="AD241" i="4"/>
  <c r="AC91" i="4"/>
  <c r="AF216" i="4"/>
  <c r="AC146" i="4"/>
  <c r="AC223" i="4"/>
  <c r="AE189" i="4"/>
  <c r="AE250" i="4"/>
  <c r="AI166" i="4"/>
  <c r="AD78" i="4"/>
  <c r="AF214" i="4"/>
  <c r="AC130" i="4"/>
  <c r="AE217" i="4"/>
  <c r="AF29" i="4"/>
  <c r="AI117" i="4"/>
  <c r="AF163" i="4"/>
  <c r="AF26" i="4"/>
  <c r="AF134" i="4"/>
  <c r="AC182" i="4"/>
  <c r="AE213" i="4"/>
  <c r="AC153" i="4"/>
  <c r="AE68" i="4"/>
  <c r="AC158" i="4"/>
  <c r="AE228" i="4"/>
  <c r="AE56" i="4"/>
  <c r="AD162" i="4"/>
  <c r="AF106" i="4"/>
  <c r="AC38" i="4"/>
  <c r="AI165" i="4"/>
  <c r="AD108" i="4"/>
  <c r="AC79" i="4"/>
  <c r="AC33" i="4"/>
  <c r="AD55" i="4"/>
  <c r="AC9" i="4"/>
  <c r="AC104" i="4"/>
  <c r="AE42" i="4"/>
  <c r="AF12" i="4"/>
  <c r="AE88" i="4"/>
  <c r="AD238" i="4"/>
  <c r="AE219" i="4"/>
  <c r="AC257" i="4"/>
  <c r="AD245" i="4"/>
  <c r="AF246" i="4"/>
  <c r="AI18" i="4"/>
  <c r="AF225" i="4"/>
  <c r="AI201" i="4"/>
  <c r="AF150" i="4"/>
  <c r="AD53" i="4"/>
  <c r="AI209" i="4"/>
  <c r="AE64" i="4"/>
  <c r="AF46" i="4"/>
  <c r="AD111" i="4"/>
  <c r="AC186" i="4"/>
  <c r="AD156" i="4"/>
  <c r="AD152" i="4"/>
  <c r="AC11" i="4"/>
  <c r="AI96" i="4"/>
  <c r="AE223" i="4"/>
  <c r="AC70" i="4"/>
  <c r="AD66" i="4"/>
  <c r="AD24" i="4"/>
  <c r="AF125" i="4"/>
  <c r="AI186" i="4"/>
  <c r="AC50" i="4"/>
  <c r="AF8" i="4"/>
  <c r="AD186" i="4"/>
  <c r="AF131" i="4"/>
  <c r="AD201" i="4"/>
  <c r="AF255" i="4"/>
  <c r="AI150" i="4"/>
  <c r="AF211" i="4"/>
  <c r="AF180" i="4"/>
  <c r="AE47" i="4"/>
  <c r="AD79" i="4"/>
  <c r="AI154" i="4"/>
  <c r="AD115" i="4"/>
  <c r="AD236" i="4"/>
  <c r="AD52" i="4"/>
  <c r="AE119" i="4"/>
  <c r="AC17" i="4"/>
  <c r="AF227" i="4"/>
  <c r="AD63" i="4"/>
  <c r="AF161" i="4"/>
  <c r="AC159" i="4"/>
  <c r="AF195" i="4"/>
  <c r="AE259" i="4"/>
  <c r="AI196" i="4"/>
  <c r="AI212" i="4"/>
  <c r="AC77" i="4"/>
  <c r="AF251" i="4"/>
  <c r="AC134" i="4"/>
  <c r="AF222" i="4"/>
  <c r="AD47" i="4"/>
  <c r="AI37" i="4"/>
  <c r="AI142" i="4"/>
  <c r="AE118" i="4"/>
  <c r="AC258" i="4"/>
  <c r="AD82" i="4"/>
  <c r="AD188" i="4"/>
  <c r="AC151" i="4"/>
  <c r="AC235" i="4"/>
  <c r="AE40" i="4"/>
  <c r="AC45" i="4"/>
  <c r="AC114" i="4"/>
  <c r="AD160" i="4"/>
  <c r="AE19" i="4"/>
  <c r="AE253" i="4"/>
  <c r="AF83" i="4"/>
  <c r="AF27" i="4"/>
  <c r="AE203" i="4"/>
  <c r="AI256" i="4"/>
  <c r="AI173" i="4"/>
  <c r="AF217" i="4"/>
  <c r="AC212" i="4"/>
  <c r="AI252" i="4"/>
  <c r="AE10" i="4"/>
  <c r="AC62" i="4"/>
  <c r="AC165" i="4"/>
  <c r="AF223" i="4"/>
  <c r="AI213" i="4"/>
  <c r="AC152" i="4"/>
  <c r="AE50" i="4"/>
  <c r="AF90" i="4"/>
  <c r="AD176" i="4"/>
  <c r="AE67" i="4"/>
  <c r="AF167" i="4"/>
  <c r="AI251" i="4"/>
  <c r="AF248" i="4"/>
  <c r="AC92" i="4"/>
  <c r="AE172" i="4"/>
  <c r="AD86" i="4"/>
  <c r="AD233" i="4"/>
  <c r="AF53" i="4"/>
  <c r="AF263" i="4"/>
  <c r="AC14" i="4"/>
  <c r="AE212" i="4"/>
  <c r="AF44" i="4"/>
  <c r="AC251" i="4"/>
  <c r="AF231" i="4"/>
  <c r="AE196" i="4"/>
  <c r="AF179" i="4"/>
  <c r="AE241" i="4"/>
  <c r="AD172" i="4"/>
  <c r="AE261" i="4"/>
  <c r="AI80" i="4"/>
  <c r="AI223" i="4"/>
  <c r="AF111" i="4"/>
  <c r="AE69" i="4"/>
  <c r="AI90" i="4"/>
  <c r="AF82" i="4"/>
  <c r="AI181" i="4"/>
  <c r="AF193" i="4"/>
  <c r="AD158" i="4"/>
  <c r="AC28" i="4"/>
  <c r="AI67" i="4"/>
  <c r="AI7" i="4"/>
  <c r="AI180" i="4"/>
  <c r="AE98" i="4"/>
  <c r="AD261" i="4"/>
  <c r="AD138" i="4"/>
  <c r="AF97" i="4"/>
  <c r="AD161" i="4"/>
  <c r="AC60" i="4"/>
  <c r="AD221" i="4"/>
  <c r="AE45" i="4"/>
  <c r="AI155" i="4"/>
  <c r="AE52" i="4"/>
  <c r="AI194" i="4"/>
  <c r="AC98" i="4"/>
  <c r="AF118" i="4"/>
  <c r="AI248" i="4"/>
  <c r="AC109" i="4"/>
  <c r="AE165" i="4"/>
  <c r="AF115" i="4"/>
  <c r="AI30" i="4"/>
  <c r="AD89" i="4"/>
  <c r="AD121" i="4"/>
  <c r="AD255" i="4"/>
  <c r="AC34" i="4"/>
  <c r="AC157" i="4"/>
  <c r="AI11" i="4"/>
  <c r="AD234" i="4"/>
  <c r="AI241" i="4"/>
  <c r="AC195" i="4"/>
  <c r="AD60" i="4"/>
  <c r="AC228" i="4"/>
  <c r="AF185" i="4"/>
  <c r="AF25" i="4"/>
  <c r="AF95" i="4"/>
  <c r="AI122" i="4"/>
  <c r="AE130" i="4"/>
  <c r="AD12" i="4"/>
  <c r="AC260" i="4"/>
  <c r="AI129" i="4"/>
  <c r="AD244" i="4"/>
  <c r="AD200" i="4"/>
  <c r="AD97" i="4"/>
  <c r="AE92" i="4"/>
  <c r="AF252" i="4"/>
  <c r="AE37" i="4"/>
  <c r="AI92" i="4"/>
  <c r="AD44" i="4"/>
  <c r="AD27" i="4"/>
  <c r="AD263" i="4"/>
  <c r="AE87" i="4"/>
  <c r="AE167" i="4"/>
  <c r="AI120" i="4"/>
  <c r="AC75" i="4"/>
  <c r="AI145" i="4"/>
  <c r="AC66" i="4"/>
  <c r="AE59" i="4"/>
  <c r="AC74" i="4"/>
  <c r="AD254" i="4"/>
  <c r="AI190" i="4"/>
  <c r="AF57" i="4"/>
  <c r="AD153" i="4"/>
  <c r="AC7" i="4"/>
  <c r="AD98" i="4"/>
  <c r="AC48" i="4"/>
  <c r="AD129" i="4"/>
  <c r="AF105" i="4"/>
  <c r="AE162" i="4"/>
  <c r="AC57" i="4"/>
  <c r="AF42" i="4"/>
  <c r="AF197" i="4"/>
  <c r="AD13" i="4"/>
  <c r="AE235" i="4"/>
  <c r="AE214" i="4"/>
  <c r="AC32" i="4"/>
  <c r="AE191" i="4"/>
  <c r="AE260" i="4"/>
  <c r="AE147" i="4"/>
  <c r="AD96" i="4"/>
  <c r="AI220" i="4"/>
  <c r="AI221" i="4"/>
  <c r="AC215" i="4"/>
  <c r="AI78" i="4"/>
  <c r="AF18" i="4"/>
  <c r="AF62" i="4"/>
  <c r="AF237" i="4"/>
  <c r="AE200" i="4"/>
  <c r="AI262" i="4"/>
  <c r="AE7" i="4"/>
  <c r="AF45" i="4"/>
  <c r="AI95" i="4"/>
  <c r="AF224" i="4"/>
  <c r="AI217" i="4"/>
  <c r="AF84" i="4"/>
  <c r="AI158" i="4"/>
  <c r="AD75" i="4"/>
  <c r="AF52" i="4"/>
  <c r="AE114" i="4"/>
  <c r="AC199" i="4"/>
  <c r="AF146" i="4"/>
  <c r="AE145" i="4"/>
  <c r="AD175" i="4"/>
  <c r="AF66" i="4"/>
  <c r="AI242" i="4"/>
  <c r="AF266" i="4"/>
  <c r="AD222" i="4"/>
  <c r="AE232" i="4"/>
  <c r="AE131" i="4"/>
  <c r="AF75" i="4"/>
  <c r="AE245" i="4"/>
  <c r="AC132" i="4"/>
  <c r="AC221" i="4"/>
  <c r="AE256" i="4"/>
  <c r="AC197" i="4"/>
  <c r="AF37" i="4"/>
  <c r="AE143" i="4"/>
  <c r="AI123" i="4"/>
  <c r="AD260" i="4"/>
  <c r="AE55" i="4"/>
  <c r="AC244" i="4"/>
  <c r="AC43" i="4"/>
  <c r="AC248" i="4"/>
  <c r="AI58" i="4"/>
  <c r="AF194" i="4"/>
  <c r="AI99" i="4"/>
  <c r="AE105" i="4"/>
  <c r="AI19" i="4"/>
  <c r="AF173" i="4"/>
  <c r="AF177" i="4"/>
  <c r="AC190" i="4"/>
  <c r="AI75" i="4"/>
  <c r="AE80" i="4"/>
  <c r="AI143" i="4"/>
  <c r="AE79" i="4"/>
  <c r="AF187" i="4"/>
  <c r="AI144" i="4"/>
  <c r="AE175" i="4"/>
  <c r="AI13" i="4"/>
  <c r="AE164" i="4"/>
  <c r="AF88" i="4"/>
  <c r="AC245" i="4"/>
  <c r="AC253" i="4"/>
  <c r="AE34" i="4"/>
  <c r="AF201" i="4"/>
  <c r="AC205" i="4"/>
  <c r="AI103" i="4"/>
  <c r="AD103" i="4"/>
  <c r="AC234" i="4"/>
  <c r="AC163" i="4"/>
  <c r="AD242" i="4"/>
  <c r="AI16" i="4"/>
  <c r="AI104" i="4"/>
  <c r="AF264" i="4"/>
  <c r="AI200" i="4"/>
  <c r="AF69" i="4"/>
  <c r="AE27" i="4"/>
  <c r="AF192" i="4"/>
  <c r="AI249" i="4"/>
  <c r="AF70" i="4"/>
  <c r="AI236" i="4"/>
  <c r="AC36" i="4"/>
  <c r="AF152" i="4"/>
  <c r="AE135" i="4"/>
  <c r="AD31" i="4"/>
  <c r="AE8" i="4"/>
  <c r="AD32" i="4"/>
  <c r="AI25" i="4"/>
  <c r="AE78" i="4"/>
  <c r="AF154" i="4"/>
  <c r="AI88" i="4"/>
  <c r="AF239" i="4"/>
  <c r="AI189" i="4"/>
  <c r="AI170" i="4"/>
  <c r="AD171" i="4"/>
  <c r="AF221" i="4"/>
  <c r="AI229" i="4"/>
  <c r="AD265" i="4"/>
  <c r="AI105" i="4"/>
  <c r="AD253" i="4"/>
  <c r="AD119" i="4"/>
  <c r="AI147" i="4"/>
  <c r="AC233" i="4"/>
  <c r="AD6" i="4"/>
  <c r="AD7" i="4" s="1"/>
  <c r="AF247" i="4"/>
  <c r="AE153" i="4"/>
  <c r="AI28" i="4"/>
  <c r="AD196" i="4"/>
  <c r="AI127" i="4"/>
  <c r="AD20" i="4"/>
  <c r="AF233" i="4"/>
  <c r="AE184" i="4"/>
  <c r="AF94" i="4"/>
  <c r="AF208" i="4"/>
  <c r="AD94" i="4"/>
  <c r="AC191" i="4"/>
  <c r="AI54" i="4"/>
  <c r="AI44" i="4"/>
  <c r="AC44" i="4"/>
  <c r="AD198" i="4"/>
  <c r="AC144" i="4"/>
  <c r="AD217" i="4"/>
  <c r="AD25" i="4"/>
  <c r="AD220" i="4"/>
  <c r="AD33" i="4"/>
  <c r="AE102" i="4"/>
  <c r="AF121" i="4"/>
  <c r="AI230" i="4"/>
  <c r="AE208" i="4"/>
  <c r="AI246" i="4"/>
  <c r="AI253" i="4"/>
  <c r="AE166" i="4"/>
  <c r="AI183" i="4"/>
  <c r="AF229" i="4"/>
  <c r="AE128" i="4"/>
  <c r="AD231" i="4"/>
  <c r="AD134" i="4"/>
  <c r="AC162" i="4"/>
  <c r="AC237" i="4"/>
  <c r="AC31" i="4"/>
  <c r="AI255" i="4"/>
  <c r="AF120" i="4"/>
  <c r="AE58" i="4"/>
  <c r="AD239" i="4"/>
  <c r="AD74" i="4"/>
  <c r="AE168" i="4"/>
  <c r="AI184" i="4"/>
  <c r="AI43" i="4"/>
  <c r="AD69" i="4"/>
  <c r="AC21" i="4"/>
  <c r="AE38" i="4"/>
  <c r="AE12" i="4"/>
  <c r="AD133" i="4"/>
  <c r="AD202" i="4"/>
  <c r="AD90" i="4"/>
  <c r="AE262" i="4"/>
  <c r="AE207" i="4"/>
  <c r="AC189" i="4"/>
  <c r="AC240" i="4"/>
  <c r="AF54" i="4"/>
  <c r="AI118" i="4"/>
  <c r="AC137" i="4"/>
  <c r="AE201" i="4"/>
  <c r="AI125" i="4"/>
  <c r="AD215" i="4"/>
  <c r="AF7" i="4"/>
  <c r="AF20" i="4"/>
  <c r="AC168" i="4"/>
  <c r="AE188" i="4"/>
  <c r="AC147" i="4"/>
  <c r="AD243" i="4"/>
  <c r="AI61" i="4"/>
  <c r="AI215" i="4"/>
  <c r="AD39" i="4"/>
  <c r="AC232" i="4"/>
  <c r="AD131" i="4"/>
  <c r="AC255" i="4"/>
  <c r="AF160" i="4"/>
  <c r="AI219" i="4"/>
  <c r="AF76" i="4"/>
  <c r="AF250" i="4"/>
  <c r="AE266" i="4"/>
  <c r="AC164" i="4"/>
  <c r="AI27" i="4"/>
  <c r="AE263" i="4"/>
  <c r="AI24" i="4"/>
  <c r="AF249" i="4"/>
  <c r="AD250" i="4"/>
  <c r="AD213" i="4"/>
  <c r="AF258" i="4"/>
  <c r="AD124" i="4"/>
  <c r="AE132" i="4"/>
  <c r="AE224" i="4"/>
  <c r="AC254" i="4"/>
  <c r="AF127" i="4"/>
  <c r="AC225" i="4"/>
  <c r="AE15" i="4"/>
  <c r="AD22" i="4"/>
  <c r="AI10" i="4"/>
  <c r="AC129" i="4"/>
  <c r="AF254" i="4"/>
  <c r="AD165" i="4"/>
  <c r="AD77" i="4"/>
  <c r="AF108" i="4"/>
  <c r="AE204" i="4"/>
  <c r="AC161" i="4"/>
  <c r="AF67" i="4"/>
  <c r="AD106" i="4"/>
  <c r="AE26" i="4"/>
  <c r="AC150" i="4"/>
  <c r="AE99" i="4"/>
  <c r="AD179" i="4"/>
  <c r="AD151" i="4"/>
  <c r="AC208" i="4"/>
  <c r="AI68" i="4"/>
  <c r="AI116" i="4"/>
  <c r="AE187" i="4"/>
  <c r="AC59" i="4"/>
  <c r="AC176" i="4"/>
  <c r="AC111" i="4"/>
  <c r="AE70" i="4"/>
  <c r="AI107" i="4"/>
  <c r="AD40" i="4"/>
  <c r="AF109" i="4"/>
  <c r="AF157" i="4"/>
  <c r="AF176" i="4"/>
  <c r="AC15" i="4"/>
  <c r="AF196" i="4"/>
  <c r="AD34" i="4"/>
  <c r="AD18" i="4"/>
  <c r="AD59" i="4"/>
  <c r="AC239" i="4"/>
  <c r="AE237" i="4"/>
  <c r="AF126" i="4"/>
  <c r="AF244" i="4"/>
  <c r="AF136" i="4"/>
  <c r="AI258" i="4"/>
  <c r="AE94" i="4"/>
  <c r="AC154" i="4"/>
  <c r="AI148" i="4"/>
  <c r="AF172" i="4"/>
  <c r="AF50" i="4"/>
  <c r="AE186" i="4"/>
  <c r="AD26" i="4"/>
  <c r="AC102" i="4"/>
  <c r="AF58" i="4"/>
  <c r="AI34" i="4"/>
  <c r="AD178" i="4"/>
  <c r="AI33" i="4"/>
  <c r="AC142" i="4"/>
  <c r="AE39" i="4"/>
  <c r="AE86" i="4"/>
  <c r="AE115" i="4"/>
  <c r="AE111" i="4"/>
  <c r="AI151" i="4"/>
  <c r="AC135" i="4"/>
  <c r="AC85" i="4"/>
  <c r="AF265" i="4"/>
  <c r="AF232" i="4"/>
  <c r="AD150" i="4"/>
  <c r="AC226" i="4"/>
  <c r="AD159" i="4"/>
  <c r="AI247" i="4"/>
  <c r="AF22" i="4"/>
  <c r="AF198" i="4"/>
  <c r="AE194" i="4"/>
  <c r="AC175" i="4"/>
  <c r="AF100" i="4"/>
  <c r="AE248" i="4"/>
  <c r="AD65" i="4"/>
  <c r="AE179" i="4"/>
  <c r="AI174" i="4"/>
  <c r="AD93" i="4"/>
  <c r="AD226" i="4"/>
  <c r="AE100" i="4"/>
  <c r="AD163" i="4"/>
  <c r="AC97" i="4"/>
  <c r="AI192" i="4"/>
  <c r="AD64" i="4"/>
  <c r="AD228" i="4"/>
  <c r="AD168" i="4"/>
  <c r="AI31" i="4"/>
  <c r="AD36" i="4"/>
  <c r="AI191" i="4"/>
  <c r="AI195" i="4"/>
  <c r="AF212" i="4"/>
  <c r="AF174" i="4"/>
  <c r="AF24" i="4"/>
  <c r="AI198" i="4"/>
  <c r="AI265" i="4"/>
  <c r="AC171" i="4"/>
  <c r="AC100" i="4"/>
  <c r="AF81" i="4"/>
  <c r="AD211" i="4"/>
  <c r="AE142" i="4"/>
  <c r="AD225" i="4"/>
  <c r="AI137" i="4"/>
  <c r="AC219" i="4"/>
  <c r="AI71" i="4"/>
  <c r="AE84" i="4"/>
  <c r="AI50" i="4"/>
  <c r="AI168" i="4"/>
  <c r="AD28" i="4"/>
  <c r="AE209" i="4"/>
  <c r="AI26" i="4"/>
  <c r="AE173" i="4"/>
  <c r="AE46" i="4"/>
  <c r="AE32" i="4"/>
  <c r="AE155" i="4"/>
  <c r="AE138" i="4"/>
  <c r="AF112" i="4"/>
  <c r="AE25" i="4"/>
  <c r="AD197" i="4"/>
  <c r="AE236" i="4"/>
  <c r="AE48" i="4"/>
  <c r="AI113" i="4"/>
  <c r="AF218" i="4"/>
  <c r="AC68" i="4"/>
  <c r="AD81" i="4"/>
  <c r="AI32" i="4"/>
  <c r="AC46" i="4"/>
  <c r="AC54" i="4"/>
  <c r="AE124" i="4"/>
  <c r="AC20" i="4"/>
  <c r="AI15" i="4"/>
  <c r="AD190" i="4"/>
  <c r="AI228" i="4"/>
  <c r="AI210" i="4"/>
  <c r="AD16" i="4"/>
  <c r="AF203" i="4"/>
  <c r="AF98" i="4"/>
  <c r="AF21" i="4"/>
  <c r="AE117" i="4"/>
  <c r="AD128" i="4"/>
  <c r="AI211" i="4"/>
  <c r="AI254" i="4"/>
  <c r="AF59" i="4"/>
  <c r="AF257" i="4"/>
  <c r="AI83" i="4"/>
  <c r="AD101" i="4"/>
  <c r="AI110" i="4"/>
  <c r="AE152" i="4"/>
  <c r="AC81" i="4"/>
  <c r="AE220" i="4"/>
  <c r="AC169" i="4"/>
  <c r="AE247" i="4"/>
  <c r="AC136" i="4"/>
  <c r="AI94" i="4"/>
  <c r="AI233" i="4"/>
  <c r="AC173" i="4"/>
  <c r="AC133" i="4"/>
  <c r="AF130" i="4"/>
  <c r="AC83" i="4"/>
  <c r="AI261" i="4"/>
  <c r="AD136" i="4"/>
  <c r="AF219" i="4"/>
  <c r="AC47" i="4"/>
  <c r="AI218" i="4"/>
  <c r="AD41" i="4"/>
  <c r="AI131" i="4"/>
  <c r="AC231" i="4"/>
  <c r="AE137" i="4"/>
  <c r="AF189" i="4"/>
  <c r="AC243" i="4"/>
  <c r="AE215" i="4"/>
  <c r="AI163" i="4"/>
  <c r="AE226" i="4"/>
  <c r="AE53" i="4"/>
  <c r="AI263" i="4"/>
  <c r="AF71" i="4"/>
  <c r="AI62" i="4"/>
  <c r="AC210" i="4"/>
  <c r="AC117" i="4"/>
  <c r="AE106" i="4"/>
  <c r="AI49" i="4"/>
  <c r="AE44" i="4"/>
  <c r="AD249" i="4"/>
  <c r="AF101" i="4"/>
  <c r="AF31" i="4"/>
  <c r="AI42" i="4"/>
  <c r="AI47" i="4"/>
  <c r="AD83" i="4"/>
  <c r="AF181" i="4"/>
  <c r="AE85" i="4"/>
  <c r="AI227" i="4"/>
  <c r="AC193" i="4"/>
  <c r="AC106" i="4"/>
  <c r="AC139" i="4"/>
  <c r="AE216" i="4"/>
  <c r="AD100" i="4"/>
  <c r="AF10" i="4"/>
  <c r="AD145" i="4"/>
  <c r="AF260" i="4"/>
  <c r="AE198" i="4"/>
  <c r="AC16" i="4"/>
  <c r="AD149" i="4"/>
  <c r="AF245" i="4"/>
  <c r="AF140" i="4"/>
  <c r="AE159" i="4"/>
  <c r="AI133" i="4"/>
  <c r="AD251" i="4"/>
  <c r="AI237" i="4"/>
  <c r="AD58" i="4"/>
  <c r="AE60" i="4"/>
  <c r="AD104" i="4"/>
  <c r="AD189" i="4"/>
  <c r="AD15" i="4"/>
  <c r="AD208" i="4"/>
  <c r="AE239" i="4"/>
  <c r="AF86" i="4"/>
  <c r="AD17" i="4"/>
  <c r="AD107" i="4"/>
  <c r="AF190" i="4"/>
  <c r="AE254" i="4"/>
  <c r="AF107" i="4"/>
  <c r="AF99" i="4"/>
  <c r="AC115" i="4"/>
  <c r="AI216" i="4"/>
  <c r="AI89" i="4"/>
  <c r="AI161" i="4"/>
  <c r="AI182" i="4"/>
  <c r="AI167" i="4"/>
  <c r="AC76" i="4"/>
  <c r="AF15" i="4"/>
  <c r="AI98" i="4"/>
  <c r="AC256" i="4"/>
  <c r="AE148" i="4"/>
  <c r="AF89" i="4"/>
  <c r="AC127" i="4"/>
  <c r="AD126" i="4"/>
  <c r="AE190" i="4"/>
  <c r="AI81" i="4"/>
  <c r="AF261" i="4"/>
  <c r="AD174" i="4"/>
  <c r="AF55" i="4"/>
  <c r="AF103" i="4"/>
  <c r="AE202" i="4"/>
  <c r="AF228" i="4"/>
  <c r="AD195" i="4"/>
  <c r="AC238" i="4"/>
  <c r="AE112" i="4"/>
  <c r="AF184" i="4"/>
  <c r="AD193" i="4"/>
  <c r="AD232" i="4"/>
  <c r="AI85" i="4"/>
  <c r="AE129" i="4"/>
  <c r="AI65" i="4"/>
  <c r="AI164" i="4"/>
  <c r="AI84" i="4"/>
  <c r="AC40" i="4"/>
  <c r="AD43" i="4"/>
  <c r="AF19" i="4"/>
  <c r="AE18" i="4"/>
  <c r="AI22" i="4"/>
  <c r="AE65" i="4"/>
  <c r="AF142" i="4"/>
  <c r="AI177" i="4"/>
  <c r="AC55" i="4"/>
  <c r="AI160" i="4"/>
  <c r="AF171" i="4"/>
  <c r="AF138" i="4"/>
  <c r="AD199" i="4"/>
  <c r="AF141" i="4"/>
  <c r="AF38" i="4"/>
  <c r="AC184" i="4"/>
  <c r="AE63" i="4"/>
  <c r="AC108" i="4"/>
  <c r="AC41" i="4"/>
  <c r="AD23" i="4"/>
  <c r="AC149" i="4"/>
  <c r="AI259" i="4"/>
  <c r="AC188" i="4"/>
  <c r="AF16" i="4"/>
  <c r="AD157" i="4"/>
  <c r="AC140" i="4"/>
  <c r="AF14" i="4"/>
  <c r="AD62" i="4"/>
  <c r="AF243" i="4"/>
  <c r="AC241" i="4"/>
  <c r="AI108" i="4"/>
  <c r="AE251" i="4"/>
  <c r="AD142" i="4"/>
  <c r="AD102" i="4"/>
  <c r="AF123" i="4"/>
  <c r="AI60" i="4"/>
  <c r="AF175" i="4"/>
  <c r="AC95" i="4"/>
  <c r="AI35" i="4"/>
  <c r="AF56" i="4"/>
  <c r="AF17" i="4"/>
  <c r="AE82" i="4"/>
  <c r="AI17" i="4"/>
  <c r="AF259" i="4"/>
  <c r="AE73" i="4"/>
  <c r="AF41" i="4"/>
  <c r="AC246" i="4"/>
  <c r="AD57" i="4"/>
  <c r="AE257" i="4"/>
  <c r="AE97" i="4"/>
  <c r="AE258" i="4"/>
  <c r="AE74" i="4"/>
  <c r="AE72" i="4"/>
  <c r="AF147" i="4"/>
  <c r="AC179" i="4"/>
  <c r="AI244" i="4"/>
  <c r="AD30" i="4"/>
  <c r="AF63" i="4"/>
  <c r="AF220" i="4"/>
  <c r="AD46" i="4"/>
  <c r="AE178" i="4"/>
  <c r="AD256" i="4"/>
  <c r="AC192" i="4"/>
  <c r="AD139" i="4"/>
  <c r="AI136" i="4"/>
  <c r="AF116" i="4"/>
  <c r="AD91" i="4"/>
  <c r="AF73" i="4"/>
  <c r="AE246" i="4"/>
  <c r="AD248" i="4"/>
  <c r="AI53" i="4"/>
  <c r="AC29" i="4"/>
  <c r="AD118" i="4"/>
  <c r="AC211" i="4"/>
  <c r="AF241" i="4"/>
  <c r="AD61" i="4"/>
  <c r="AC30" i="4"/>
  <c r="AF183" i="4"/>
  <c r="AD235" i="4"/>
  <c r="AC39" i="4"/>
  <c r="AF87" i="4"/>
  <c r="AD42" i="4"/>
  <c r="AE134" i="4"/>
  <c r="AC86" i="4"/>
  <c r="AC155" i="4"/>
  <c r="AD92" i="4"/>
  <c r="AF13" i="4"/>
  <c r="AI52" i="4"/>
  <c r="AI55" i="4"/>
  <c r="AE49" i="4"/>
  <c r="AC138" i="4"/>
  <c r="AI41" i="4"/>
  <c r="AE265" i="4"/>
  <c r="AC202" i="4"/>
  <c r="AF49" i="4"/>
  <c r="AI79" i="4"/>
  <c r="AC266" i="4"/>
  <c r="AD9" i="4"/>
  <c r="AD259" i="4"/>
  <c r="AI172" i="4"/>
  <c r="AI239" i="4"/>
  <c r="AF64" i="4"/>
  <c r="AF213" i="4"/>
  <c r="AD51" i="4"/>
  <c r="AI63" i="4"/>
  <c r="AF35" i="4"/>
  <c r="AC110" i="4"/>
  <c r="AC125" i="4"/>
  <c r="AE51" i="4"/>
  <c r="AC224" i="4"/>
  <c r="AF137" i="4"/>
  <c r="AF23" i="4"/>
  <c r="AI69" i="4"/>
  <c r="AF72" i="4"/>
  <c r="AE210" i="4"/>
  <c r="AC203" i="4"/>
  <c r="AI91" i="4"/>
  <c r="AE24" i="4"/>
  <c r="AF186" i="4"/>
  <c r="AE140" i="4"/>
  <c r="AI8" i="4"/>
  <c r="AD144" i="4"/>
  <c r="AD169" i="4"/>
  <c r="AE66" i="4"/>
  <c r="AI250" i="4"/>
  <c r="AF28" i="4"/>
  <c r="AC124" i="4"/>
  <c r="AI175" i="4"/>
  <c r="AD127" i="4"/>
  <c r="AE121" i="4"/>
  <c r="AD10" i="4"/>
  <c r="AC96" i="4"/>
  <c r="AD170" i="4"/>
  <c r="AF129" i="4"/>
  <c r="AF159" i="4"/>
  <c r="AF151" i="4"/>
  <c r="AI202" i="4"/>
  <c r="AE126" i="4"/>
  <c r="AF240" i="4"/>
  <c r="AC259" i="4"/>
  <c r="AC65" i="4"/>
  <c r="AC261" i="4"/>
  <c r="AF47" i="4"/>
  <c r="AD112" i="4"/>
  <c r="AD37" i="4"/>
  <c r="AF182" i="4"/>
  <c r="AE76" i="4"/>
  <c r="AE13" i="4"/>
  <c r="AF209" i="4"/>
  <c r="AC222" i="4"/>
  <c r="AF117" i="4"/>
  <c r="AC121" i="4"/>
  <c r="AD210" i="4"/>
  <c r="AD117" i="4"/>
  <c r="AD84" i="4"/>
  <c r="AI206" i="4"/>
  <c r="AC183" i="4"/>
  <c r="AE252" i="4"/>
  <c r="AC10" i="4"/>
  <c r="AE95" i="4"/>
  <c r="AD122" i="4"/>
  <c r="AE240" i="4"/>
  <c r="AE33" i="4"/>
  <c r="AF139" i="4"/>
  <c r="AD29" i="4"/>
  <c r="AI187" i="4"/>
  <c r="AE206" i="4"/>
  <c r="AC217" i="4"/>
  <c r="AC89" i="4"/>
  <c r="AE96" i="4"/>
  <c r="AF96" i="4"/>
  <c r="AI73" i="4"/>
  <c r="AD192" i="4"/>
  <c r="AI207" i="4"/>
  <c r="AF102" i="4"/>
  <c r="AD141" i="4"/>
  <c r="AE264" i="4"/>
  <c r="AD95" i="4"/>
  <c r="AC93" i="4"/>
  <c r="AD35" i="4"/>
  <c r="AC207" i="4"/>
  <c r="AI77" i="4"/>
  <c r="AD227" i="4"/>
  <c r="AE57" i="4"/>
  <c r="AF207" i="4"/>
  <c r="AC227" i="4"/>
  <c r="AD148" i="4"/>
  <c r="AD146" i="4"/>
  <c r="AD11" i="4"/>
  <c r="AC170" i="4"/>
  <c r="AD105" i="4"/>
  <c r="AF166" i="4"/>
  <c r="AE149" i="4"/>
  <c r="AC101" i="4"/>
  <c r="AI152" i="4"/>
  <c r="AC220" i="4"/>
  <c r="AC209" i="4"/>
  <c r="AC194" i="4"/>
  <c r="AI72" i="4"/>
  <c r="AE218" i="4"/>
  <c r="AI197" i="4"/>
  <c r="AF30" i="4"/>
  <c r="AE174" i="4"/>
  <c r="AC116" i="4"/>
  <c r="AE93" i="4"/>
  <c r="AC120" i="4"/>
  <c r="AC229" i="4"/>
  <c r="AE229" i="4"/>
  <c r="AF178" i="4"/>
  <c r="AD48" i="4"/>
  <c r="AE158" i="4"/>
  <c r="AI153" i="4"/>
  <c r="AC174" i="4"/>
  <c r="AI102" i="4"/>
  <c r="AE77" i="4"/>
  <c r="AF253" i="4"/>
  <c r="AD85" i="4"/>
  <c r="AD14" i="4"/>
  <c r="AE139" i="4"/>
  <c r="AI157" i="4"/>
  <c r="AE108" i="4"/>
  <c r="AI171" i="4"/>
  <c r="AE171" i="4"/>
  <c r="AI156" i="4"/>
  <c r="AE146" i="4"/>
  <c r="AI106" i="4"/>
  <c r="AI109" i="4"/>
  <c r="AI64" i="4"/>
  <c r="AC51" i="4"/>
  <c r="AI146" i="4"/>
  <c r="AI46" i="4"/>
  <c r="AI235" i="4"/>
  <c r="AF156" i="4"/>
  <c r="AC204" i="4"/>
  <c r="AE9" i="4"/>
  <c r="AC112" i="4"/>
  <c r="AI169" i="4"/>
  <c r="AC201" i="4"/>
  <c r="AF238" i="4"/>
  <c r="AC214" i="4"/>
  <c r="AC84" i="4"/>
  <c r="AD218" i="4"/>
  <c r="AD257" i="4"/>
  <c r="AD73" i="4"/>
  <c r="AC80" i="4"/>
  <c r="AF11" i="4"/>
  <c r="AE89" i="4"/>
  <c r="AE23" i="4"/>
  <c r="AE17" i="4"/>
  <c r="AF80" i="4"/>
  <c r="AE54" i="4"/>
  <c r="AI97" i="4"/>
  <c r="AD154" i="4"/>
  <c r="AI178" i="4"/>
  <c r="AE181" i="4"/>
  <c r="AE21" i="4"/>
  <c r="AI266" i="4"/>
  <c r="AD38" i="4"/>
  <c r="AD258" i="4"/>
  <c r="AI70" i="4"/>
  <c r="AD87" i="4"/>
  <c r="AC206" i="4"/>
  <c r="AF145" i="4"/>
  <c r="AD166" i="4"/>
  <c r="AE150" i="4"/>
  <c r="AF43" i="4"/>
  <c r="AF79" i="4"/>
  <c r="AE193" i="4"/>
  <c r="AC247" i="4"/>
  <c r="AC249" i="4"/>
  <c r="AC58" i="4"/>
  <c r="AF148" i="4"/>
  <c r="AD237" i="4"/>
  <c r="AE233" i="4"/>
  <c r="AC264" i="4"/>
  <c r="AI238" i="4"/>
  <c r="AI100" i="4"/>
  <c r="AF188" i="4"/>
  <c r="AF119" i="4"/>
  <c r="AI121" i="4"/>
  <c r="AC252" i="4"/>
  <c r="AD180" i="4"/>
  <c r="AF51" i="4"/>
  <c r="AC61" i="4"/>
  <c r="AC178" i="4"/>
  <c r="AC88" i="4"/>
  <c r="AI93" i="4"/>
  <c r="AC167" i="4"/>
  <c r="AI56" i="4"/>
  <c r="AF48" i="4"/>
  <c r="AC113" i="4"/>
  <c r="AF202" i="4"/>
  <c r="AF143" i="4"/>
  <c r="AE185" i="4"/>
  <c r="AE227" i="4"/>
  <c r="AD76" i="4"/>
  <c r="AF114" i="4"/>
  <c r="AC19" i="4"/>
  <c r="AE144" i="4"/>
  <c r="AE133" i="4"/>
  <c r="AC156" i="4"/>
  <c r="AD203" i="4"/>
  <c r="AD88" i="4"/>
  <c r="AC73" i="4"/>
  <c r="AD229" i="4"/>
  <c r="AD109" i="4"/>
  <c r="AF9" i="4"/>
  <c r="AI14" i="4"/>
  <c r="AI245" i="4"/>
  <c r="AD224" i="4"/>
  <c r="AC82" i="4"/>
  <c r="AI176" i="4"/>
  <c r="AD204" i="4"/>
  <c r="AI115" i="4"/>
  <c r="AI111" i="4"/>
  <c r="AI38" i="4"/>
  <c r="AC119" i="4"/>
  <c r="AE242" i="4"/>
  <c r="AE205" i="4"/>
  <c r="AC141" i="4"/>
  <c r="AD207" i="4"/>
  <c r="AI141" i="4"/>
  <c r="AC69" i="4"/>
  <c r="AF153" i="4"/>
  <c r="AD147" i="4"/>
  <c r="AF36" i="4"/>
  <c r="AD216" i="4"/>
  <c r="AC99" i="4"/>
  <c r="AE113" i="4"/>
  <c r="AF236" i="4"/>
  <c r="AD262" i="4"/>
  <c r="AD223" i="4"/>
  <c r="AE71" i="4"/>
  <c r="AF155" i="4"/>
  <c r="AD99" i="4"/>
  <c r="AI135" i="4"/>
  <c r="AC236" i="4"/>
  <c r="AI130" i="4"/>
  <c r="AE120" i="4"/>
  <c r="AD266" i="4"/>
  <c r="AF60" i="4"/>
  <c r="AE16" i="4"/>
  <c r="AF78" i="4"/>
  <c r="AC18" i="4"/>
  <c r="AF169" i="4"/>
  <c r="AC105" i="4"/>
  <c r="AC49" i="4"/>
  <c r="AI51" i="4"/>
  <c r="AD219" i="4"/>
  <c r="AF158" i="4"/>
  <c r="AF200" i="4"/>
  <c r="AI162" i="4"/>
  <c r="AC23" i="4"/>
  <c r="AI240" i="4"/>
  <c r="AE243" i="4"/>
  <c r="AE109" i="4"/>
  <c r="AI59" i="4"/>
  <c r="AI21" i="4"/>
  <c r="AD183" i="4"/>
  <c r="AC265" i="4"/>
  <c r="AD120" i="4"/>
  <c r="AC72" i="4"/>
  <c r="AE11" i="4"/>
  <c r="AE163" i="4"/>
  <c r="AF215" i="4"/>
  <c r="AE110" i="4"/>
  <c r="AI260" i="4"/>
  <c r="AC87" i="4"/>
  <c r="AI140" i="4"/>
  <c r="AC242" i="4"/>
  <c r="AI139" i="4"/>
  <c r="AI119" i="4"/>
  <c r="AF230" i="4"/>
  <c r="AE151" i="4"/>
  <c r="AF68" i="4"/>
  <c r="AE154" i="4"/>
  <c r="AC160" i="4"/>
  <c r="AF110" i="4"/>
  <c r="AF234" i="4"/>
  <c r="AE127" i="4"/>
  <c r="AD191" i="4"/>
  <c r="AC27" i="4"/>
  <c r="AF262" i="4"/>
  <c r="AF113" i="4"/>
  <c r="AI204" i="4"/>
  <c r="AE28" i="4"/>
  <c r="AC262" i="4"/>
  <c r="AC196" i="4"/>
  <c r="AF242" i="4"/>
  <c r="AI82" i="4"/>
  <c r="AF191" i="4"/>
  <c r="AD252" i="4"/>
  <c r="AC263" i="4"/>
  <c r="AE61" i="4"/>
  <c r="AI149" i="4"/>
  <c r="AC230" i="4"/>
  <c r="AD206" i="4"/>
  <c r="AI86" i="4"/>
  <c r="AE176" i="4"/>
  <c r="AD132" i="4"/>
  <c r="AD8" i="4"/>
  <c r="AE249" i="4"/>
  <c r="AF122" i="4"/>
  <c r="AD205" i="4"/>
  <c r="AE182" i="4"/>
  <c r="AC177" i="4"/>
  <c r="AI264" i="4"/>
  <c r="AI128" i="4"/>
  <c r="AI101" i="4"/>
  <c r="AD45" i="4"/>
  <c r="AE199" i="4"/>
  <c r="AC35" i="4"/>
  <c r="AF33" i="4"/>
  <c r="AC122" i="4"/>
  <c r="AE29" i="4"/>
  <c r="AC131" i="4"/>
  <c r="AI112" i="4"/>
  <c r="AD19" i="4"/>
  <c r="AD246" i="4"/>
  <c r="AI214" i="4"/>
  <c r="AD67" i="4"/>
  <c r="AD214" i="4"/>
  <c r="AD184" i="4"/>
  <c r="AC94" i="4"/>
  <c r="AD137" i="4"/>
  <c r="AE192" i="4"/>
  <c r="AE183" i="4"/>
  <c r="AF144" i="4"/>
  <c r="AC126" i="4"/>
  <c r="AI12" i="4"/>
  <c r="AC172" i="4"/>
  <c r="AC67" i="4"/>
  <c r="AF132" i="4"/>
  <c r="AE195" i="4"/>
  <c r="AC250" i="4"/>
  <c r="AE170" i="4"/>
  <c r="AD125" i="4"/>
  <c r="AD140" i="4"/>
  <c r="AE116" i="4"/>
  <c r="AC64" i="4"/>
  <c r="AF168" i="4"/>
  <c r="AI74" i="4"/>
  <c r="AC71" i="4"/>
  <c r="AE101" i="4"/>
  <c r="AD110" i="4"/>
  <c r="AI205" i="4"/>
  <c r="AI231" i="4"/>
  <c r="AF85" i="4"/>
  <c r="AF226" i="4"/>
  <c r="AD54" i="4"/>
  <c r="AI159" i="4"/>
  <c r="AC78" i="4"/>
  <c r="AC8" i="4"/>
  <c r="AI134" i="4"/>
  <c r="AE125" i="4"/>
  <c r="AD116" i="4"/>
  <c r="AF74" i="4"/>
  <c r="AI76" i="4"/>
  <c r="AF205" i="4"/>
  <c r="AE244" i="4"/>
  <c r="AF204" i="4"/>
  <c r="AF39" i="4"/>
  <c r="AC118" i="4"/>
  <c r="AD21" i="4"/>
  <c r="AE255" i="4"/>
  <c r="AE75" i="4"/>
  <c r="AE14" i="4"/>
  <c r="AD114" i="4"/>
  <c r="AE221" i="4"/>
  <c r="AC145" i="4"/>
  <c r="AE41" i="4"/>
  <c r="AE122" i="4"/>
  <c r="AC53" i="4"/>
  <c r="AE83" i="4"/>
  <c r="AC90" i="4"/>
  <c r="AE230" i="4"/>
  <c r="AI208" i="4"/>
  <c r="AC187" i="4"/>
  <c r="AI225" i="4"/>
  <c r="AC107" i="4"/>
  <c r="AF199" i="4"/>
  <c r="AC52" i="4"/>
  <c r="AC166" i="4"/>
  <c r="AC24" i="4"/>
  <c r="AE90" i="4"/>
  <c r="AF32" i="4"/>
  <c r="AE157" i="4"/>
  <c r="AE31" i="4"/>
  <c r="AI40" i="4"/>
  <c r="AI48" i="4"/>
  <c r="AD212" i="4"/>
  <c r="AI39" i="4"/>
  <c r="AI87" i="4"/>
  <c r="AF206" i="4"/>
  <c r="AC12" i="4"/>
  <c r="AF162" i="4"/>
  <c r="AD240" i="4"/>
  <c r="AD194" i="4"/>
  <c r="AD49" i="4"/>
  <c r="AI193" i="4"/>
  <c r="AD185" i="4"/>
  <c r="AI224" i="4"/>
  <c r="AI138" i="4"/>
  <c r="AI185" i="4"/>
  <c r="AF256" i="4"/>
  <c r="AC103" i="4"/>
  <c r="AC198" i="4"/>
  <c r="AD181" i="4"/>
  <c r="AI232" i="4"/>
  <c r="AF164" i="4"/>
  <c r="AE180" i="4"/>
  <c r="AD135" i="4"/>
  <c r="AC56" i="4"/>
  <c r="AD130" i="4"/>
  <c r="AE234" i="4"/>
  <c r="AI36" i="4"/>
  <c r="AD113" i="4"/>
  <c r="AD173" i="4"/>
  <c r="AD177" i="4"/>
  <c r="AD143" i="4"/>
  <c r="AE177" i="4"/>
  <c r="AE36" i="4"/>
  <c r="AD50" i="4"/>
  <c r="AF170" i="4"/>
  <c r="AE104" i="4"/>
  <c r="AE238" i="4"/>
  <c r="AF149" i="4"/>
  <c r="AE136" i="4"/>
  <c r="AI234" i="4"/>
  <c r="AD187" i="4"/>
  <c r="BK206" i="3"/>
  <c r="BL206" i="3" s="1"/>
  <c r="BK227" i="3"/>
  <c r="BL227" i="3" s="1"/>
  <c r="BK144" i="3"/>
  <c r="BL144" i="3" s="1"/>
  <c r="BK37" i="3"/>
  <c r="BL37" i="3" s="1"/>
  <c r="BK260" i="3"/>
  <c r="BL260" i="3" s="1"/>
  <c r="BG15" i="3"/>
  <c r="BH15" i="3" s="1"/>
  <c r="BG14" i="3"/>
  <c r="BH14" i="3" s="1"/>
  <c r="BG13" i="3"/>
  <c r="BH13" i="3" s="1"/>
  <c r="E11" i="4"/>
  <c r="BG16" i="3"/>
  <c r="BH16" i="3" s="1"/>
  <c r="AQ16" i="3" s="1"/>
  <c r="E15" i="4" s="1"/>
  <c r="BK211" i="3"/>
  <c r="BL211" i="3" s="1"/>
  <c r="BK215" i="3"/>
  <c r="BL215" i="3" s="1"/>
  <c r="BK201" i="3"/>
  <c r="BL201" i="3" s="1"/>
  <c r="BK21" i="3"/>
  <c r="BL21" i="3" s="1"/>
  <c r="BK159" i="3"/>
  <c r="BL159" i="3" s="1"/>
  <c r="BK77" i="3"/>
  <c r="BL77" i="3" s="1"/>
  <c r="BK225" i="3"/>
  <c r="BL225" i="3" s="1"/>
  <c r="AK12" i="3"/>
  <c r="AK13" i="3" s="1"/>
  <c r="AK14" i="3" s="1"/>
  <c r="AK15" i="3" s="1"/>
  <c r="J14" i="4"/>
  <c r="BK135" i="3"/>
  <c r="BL135" i="3" s="1"/>
  <c r="BK41" i="3"/>
  <c r="BL41" i="3" s="1"/>
  <c r="BK116" i="3"/>
  <c r="BL116" i="3" s="1"/>
  <c r="BK83" i="3"/>
  <c r="BL83" i="3" s="1"/>
  <c r="BK230" i="3"/>
  <c r="BL230" i="3" s="1"/>
  <c r="BK142" i="3"/>
  <c r="BL142" i="3" s="1"/>
  <c r="BK54" i="3"/>
  <c r="BL54" i="3" s="1"/>
  <c r="BK243" i="3"/>
  <c r="BL243" i="3" s="1"/>
  <c r="BK47" i="3"/>
  <c r="BL47" i="3" s="1"/>
  <c r="BK45" i="3"/>
  <c r="BL45" i="3" s="1"/>
  <c r="BK164" i="3"/>
  <c r="BL164" i="3" s="1"/>
  <c r="BK123" i="3"/>
  <c r="BL123" i="3" s="1"/>
  <c r="BK149" i="3"/>
  <c r="BL149" i="3" s="1"/>
  <c r="BK269" i="3"/>
  <c r="BL269" i="3" s="1"/>
  <c r="BK183" i="3"/>
  <c r="BL183" i="3" s="1"/>
  <c r="BK184" i="3"/>
  <c r="BL184" i="3" s="1"/>
  <c r="BK115" i="3"/>
  <c r="BL115" i="3" s="1"/>
  <c r="BK43" i="3"/>
  <c r="BL43" i="3" s="1"/>
  <c r="BK24" i="3"/>
  <c r="BL24" i="3" s="1"/>
  <c r="BK119" i="3"/>
  <c r="BL119" i="3" s="1"/>
  <c r="BK181" i="3"/>
  <c r="BL181" i="3" s="1"/>
  <c r="BK241" i="3"/>
  <c r="BL241" i="3" s="1"/>
  <c r="BK234" i="3"/>
  <c r="BL234" i="3" s="1"/>
  <c r="BK109" i="3"/>
  <c r="BL109" i="3" s="1"/>
  <c r="BK180" i="3"/>
  <c r="BL180" i="3" s="1"/>
  <c r="BK18" i="3"/>
  <c r="BL18" i="3" s="1"/>
  <c r="BK207" i="3"/>
  <c r="BL207" i="3" s="1"/>
  <c r="BK157" i="3"/>
  <c r="BL157" i="3" s="1"/>
  <c r="BK67" i="3"/>
  <c r="BL67" i="3" s="1"/>
  <c r="BK26" i="3"/>
  <c r="BL26" i="3" s="1"/>
  <c r="BK32" i="3"/>
  <c r="BL32" i="3" s="1"/>
  <c r="BK34" i="3"/>
  <c r="BL34" i="3" s="1"/>
  <c r="BK107" i="3"/>
  <c r="BL107" i="3" s="1"/>
  <c r="BK131" i="3"/>
  <c r="BL131" i="3" s="1"/>
  <c r="BK111" i="3"/>
  <c r="BL111" i="3" s="1"/>
  <c r="BK193" i="3"/>
  <c r="BL193" i="3" s="1"/>
  <c r="BK112" i="3"/>
  <c r="BL112" i="3" s="1"/>
  <c r="BK255" i="3"/>
  <c r="BL255" i="3" s="1"/>
  <c r="BK267" i="3"/>
  <c r="BL267" i="3" s="1"/>
  <c r="BK261" i="3"/>
  <c r="BL261" i="3" s="1"/>
  <c r="BK198" i="3"/>
  <c r="BL198" i="3" s="1"/>
  <c r="BK98" i="3"/>
  <c r="BL98" i="3" s="1"/>
  <c r="BK58" i="3"/>
  <c r="BL58" i="3" s="1"/>
  <c r="BK73" i="3"/>
  <c r="BL73" i="3" s="1"/>
  <c r="BK162" i="3"/>
  <c r="BL162" i="3" s="1"/>
  <c r="BK216" i="3"/>
  <c r="BL216" i="3" s="1"/>
  <c r="BK122" i="3"/>
  <c r="BL122" i="3" s="1"/>
  <c r="BK262" i="3"/>
  <c r="BL262" i="3" s="1"/>
  <c r="BK265" i="3"/>
  <c r="BL265" i="3" s="1"/>
  <c r="BK121" i="3"/>
  <c r="BL121" i="3" s="1"/>
  <c r="BK214" i="3"/>
  <c r="BL214" i="3" s="1"/>
  <c r="F40" i="5"/>
  <c r="J40" i="8"/>
  <c r="W47" i="3"/>
  <c r="Y46" i="3"/>
  <c r="X43" i="3"/>
  <c r="AE42" i="3"/>
  <c r="A44" i="5"/>
  <c r="A44" i="8"/>
  <c r="BG275" i="3" l="1"/>
  <c r="BH275" i="3" s="1"/>
  <c r="BG31" i="3"/>
  <c r="BH31" i="3" s="1"/>
  <c r="BG202" i="3"/>
  <c r="BH202" i="3" s="1"/>
  <c r="BG195" i="3"/>
  <c r="BH195" i="3" s="1"/>
  <c r="BG153" i="3"/>
  <c r="BH153" i="3" s="1"/>
  <c r="BG257" i="3"/>
  <c r="BH257" i="3" s="1"/>
  <c r="BG138" i="3"/>
  <c r="BH138" i="3" s="1"/>
  <c r="BG110" i="3"/>
  <c r="BH110" i="3" s="1"/>
  <c r="BG247" i="3"/>
  <c r="BH247" i="3" s="1"/>
  <c r="BG98" i="3"/>
  <c r="BH98" i="3" s="1"/>
  <c r="BG100" i="3"/>
  <c r="BH100" i="3" s="1"/>
  <c r="BG241" i="3"/>
  <c r="BH241" i="3" s="1"/>
  <c r="BG262" i="3"/>
  <c r="BH262" i="3" s="1"/>
  <c r="BG73" i="3"/>
  <c r="BH73" i="3" s="1"/>
  <c r="BG74" i="3"/>
  <c r="BH74" i="3" s="1"/>
  <c r="BG273" i="3"/>
  <c r="BH273" i="3" s="1"/>
  <c r="BG199" i="3"/>
  <c r="BH199" i="3" s="1"/>
  <c r="BG196" i="3"/>
  <c r="BH196" i="3" s="1"/>
  <c r="BG218" i="3"/>
  <c r="BH218" i="3" s="1"/>
  <c r="BG149" i="3"/>
  <c r="BH149" i="3" s="1"/>
  <c r="BG135" i="3"/>
  <c r="BH135" i="3" s="1"/>
  <c r="BG72" i="3"/>
  <c r="BH72" i="3" s="1"/>
  <c r="BG156" i="3"/>
  <c r="BH156" i="3" s="1"/>
  <c r="BG44" i="3"/>
  <c r="BH44" i="3" s="1"/>
  <c r="BG208" i="3"/>
  <c r="BH208" i="3" s="1"/>
  <c r="BG45" i="3"/>
  <c r="BH45" i="3" s="1"/>
  <c r="BG126" i="3"/>
  <c r="BH126" i="3" s="1"/>
  <c r="BG50" i="3"/>
  <c r="BH50" i="3" s="1"/>
  <c r="BG178" i="3"/>
  <c r="BH178" i="3" s="1"/>
  <c r="BG163" i="3"/>
  <c r="BH163" i="3" s="1"/>
  <c r="BG143" i="3"/>
  <c r="BH143" i="3" s="1"/>
  <c r="BG181" i="3"/>
  <c r="BH181" i="3" s="1"/>
  <c r="BG193" i="3"/>
  <c r="BH193" i="3" s="1"/>
  <c r="BG87" i="3"/>
  <c r="BH87" i="3" s="1"/>
  <c r="BG274" i="3"/>
  <c r="BH274" i="3" s="1"/>
  <c r="BG160" i="3"/>
  <c r="BH160" i="3" s="1"/>
  <c r="BG207" i="3"/>
  <c r="BH207" i="3" s="1"/>
  <c r="BG35" i="3"/>
  <c r="BH35" i="3" s="1"/>
  <c r="BG52" i="3"/>
  <c r="BH52" i="3" s="1"/>
  <c r="BG180" i="3"/>
  <c r="BH180" i="3" s="1"/>
  <c r="BG165" i="3"/>
  <c r="BH165" i="3" s="1"/>
  <c r="BG174" i="3"/>
  <c r="BH174" i="3" s="1"/>
  <c r="BG230" i="3"/>
  <c r="BH230" i="3" s="1"/>
  <c r="BG191" i="3"/>
  <c r="BH191" i="3" s="1"/>
  <c r="BG91" i="3"/>
  <c r="BH91" i="3" s="1"/>
  <c r="BG190" i="3"/>
  <c r="BH190" i="3" s="1"/>
  <c r="BG258" i="3"/>
  <c r="BH258" i="3" s="1"/>
  <c r="BG227" i="3"/>
  <c r="BH227" i="3" s="1"/>
  <c r="BG145" i="3"/>
  <c r="BH145" i="3" s="1"/>
  <c r="BG107" i="3"/>
  <c r="BH107" i="3" s="1"/>
  <c r="BG46" i="3"/>
  <c r="BH46" i="3" s="1"/>
  <c r="BG67" i="3"/>
  <c r="BH67" i="3" s="1"/>
  <c r="BG23" i="3"/>
  <c r="BH23" i="3" s="1"/>
  <c r="BG42" i="3"/>
  <c r="BH42" i="3" s="1"/>
  <c r="BG221" i="3"/>
  <c r="BH221" i="3" s="1"/>
  <c r="BG141" i="3"/>
  <c r="BH141" i="3" s="1"/>
  <c r="BG223" i="3"/>
  <c r="BH223" i="3" s="1"/>
  <c r="BG104" i="3"/>
  <c r="BH104" i="3" s="1"/>
  <c r="BG132" i="3"/>
  <c r="BH132" i="3" s="1"/>
  <c r="BG233" i="3"/>
  <c r="BH233" i="3" s="1"/>
  <c r="BG237" i="3"/>
  <c r="BH237" i="3" s="1"/>
  <c r="BG88" i="3"/>
  <c r="BH88" i="3" s="1"/>
  <c r="BG70" i="3"/>
  <c r="BH70" i="3" s="1"/>
  <c r="BG120" i="3"/>
  <c r="BH120" i="3" s="1"/>
  <c r="BG205" i="3"/>
  <c r="BH205" i="3" s="1"/>
  <c r="BG62" i="3"/>
  <c r="BH62" i="3" s="1"/>
  <c r="BG38" i="3"/>
  <c r="BH38" i="3" s="1"/>
  <c r="BG265" i="3"/>
  <c r="BH265" i="3" s="1"/>
  <c r="BG66" i="3"/>
  <c r="BH66" i="3" s="1"/>
  <c r="BG232" i="3"/>
  <c r="BH232" i="3" s="1"/>
  <c r="BG109" i="3"/>
  <c r="BH109" i="3" s="1"/>
  <c r="BG197" i="3"/>
  <c r="BH197" i="3" s="1"/>
  <c r="BG224" i="3"/>
  <c r="BH224" i="3" s="1"/>
  <c r="BG118" i="3"/>
  <c r="BH118" i="3" s="1"/>
  <c r="BG94" i="3"/>
  <c r="BH94" i="3" s="1"/>
  <c r="BG59" i="3"/>
  <c r="BH59" i="3" s="1"/>
  <c r="BG261" i="3"/>
  <c r="BH261" i="3" s="1"/>
  <c r="BG252" i="3"/>
  <c r="BH252" i="3" s="1"/>
  <c r="BG253" i="3"/>
  <c r="BH253" i="3" s="1"/>
  <c r="AH12" i="4"/>
  <c r="AH158" i="4"/>
  <c r="AH50" i="4"/>
  <c r="AH98" i="4"/>
  <c r="AH92" i="4"/>
  <c r="AH35" i="4"/>
  <c r="AH48" i="4"/>
  <c r="AH221" i="4"/>
  <c r="BG19" i="3"/>
  <c r="BH19" i="3" s="1"/>
  <c r="BG33" i="3"/>
  <c r="BH33" i="3" s="1"/>
  <c r="AK16" i="3"/>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K100" i="3" s="1"/>
  <c r="AK101" i="3" s="1"/>
  <c r="AK102" i="3" s="1"/>
  <c r="AK103" i="3" s="1"/>
  <c r="AK104" i="3" s="1"/>
  <c r="AK105" i="3" s="1"/>
  <c r="AK106" i="3" s="1"/>
  <c r="AK107" i="3" s="1"/>
  <c r="AK108" i="3" s="1"/>
  <c r="AK109" i="3" s="1"/>
  <c r="AK110" i="3" s="1"/>
  <c r="AK111" i="3" s="1"/>
  <c r="AK112" i="3" s="1"/>
  <c r="AK113" i="3" s="1"/>
  <c r="AK114" i="3" s="1"/>
  <c r="AK115" i="3" s="1"/>
  <c r="AK116" i="3" s="1"/>
  <c r="AK117" i="3" s="1"/>
  <c r="AK118" i="3" s="1"/>
  <c r="AK119" i="3" s="1"/>
  <c r="AK120" i="3" s="1"/>
  <c r="AK121" i="3" s="1"/>
  <c r="AK122" i="3" s="1"/>
  <c r="AK123" i="3" s="1"/>
  <c r="AK124" i="3" s="1"/>
  <c r="AK125" i="3" s="1"/>
  <c r="AK126" i="3" s="1"/>
  <c r="AK127" i="3" s="1"/>
  <c r="AK128" i="3" s="1"/>
  <c r="AK129" i="3" s="1"/>
  <c r="AK130" i="3" s="1"/>
  <c r="AK131" i="3" s="1"/>
  <c r="AK132" i="3" s="1"/>
  <c r="AK133" i="3" s="1"/>
  <c r="AK134" i="3" s="1"/>
  <c r="AK135" i="3" s="1"/>
  <c r="AK136" i="3" s="1"/>
  <c r="AK137" i="3" s="1"/>
  <c r="AK138" i="3" s="1"/>
  <c r="AK139" i="3" s="1"/>
  <c r="AK140" i="3" s="1"/>
  <c r="AK141" i="3" s="1"/>
  <c r="AK142" i="3" s="1"/>
  <c r="AK143" i="3" s="1"/>
  <c r="AK144" i="3" s="1"/>
  <c r="AK145" i="3" s="1"/>
  <c r="AK146" i="3" s="1"/>
  <c r="AK147" i="3" s="1"/>
  <c r="AK148" i="3" s="1"/>
  <c r="AK149" i="3" s="1"/>
  <c r="AK150" i="3" s="1"/>
  <c r="AK151" i="3" s="1"/>
  <c r="AK152" i="3" s="1"/>
  <c r="AK153" i="3" s="1"/>
  <c r="AK154" i="3" s="1"/>
  <c r="AK155" i="3" s="1"/>
  <c r="AK156" i="3" s="1"/>
  <c r="AK157" i="3" s="1"/>
  <c r="AK158" i="3" s="1"/>
  <c r="AK159" i="3" s="1"/>
  <c r="AK160" i="3" s="1"/>
  <c r="AK161" i="3" s="1"/>
  <c r="AK162" i="3" s="1"/>
  <c r="AK163" i="3" s="1"/>
  <c r="AK164" i="3" s="1"/>
  <c r="AK165" i="3" s="1"/>
  <c r="AK166" i="3" s="1"/>
  <c r="AK167" i="3" s="1"/>
  <c r="AK168" i="3" s="1"/>
  <c r="AK169" i="3" s="1"/>
  <c r="AK170" i="3" s="1"/>
  <c r="AK171" i="3" s="1"/>
  <c r="AK172" i="3" s="1"/>
  <c r="AK173" i="3" s="1"/>
  <c r="AK174" i="3" s="1"/>
  <c r="AK175" i="3" s="1"/>
  <c r="AK176" i="3" s="1"/>
  <c r="AK177" i="3" s="1"/>
  <c r="AK178" i="3" s="1"/>
  <c r="AK179" i="3" s="1"/>
  <c r="AK180" i="3" s="1"/>
  <c r="AK181" i="3" s="1"/>
  <c r="AK182" i="3" s="1"/>
  <c r="AK183" i="3" s="1"/>
  <c r="AK184" i="3" s="1"/>
  <c r="AK185" i="3" s="1"/>
  <c r="AK186" i="3" s="1"/>
  <c r="AK187" i="3" s="1"/>
  <c r="AK188" i="3" s="1"/>
  <c r="AK189" i="3" s="1"/>
  <c r="AK190" i="3" s="1"/>
  <c r="AK191" i="3" s="1"/>
  <c r="AK192" i="3" s="1"/>
  <c r="AK193" i="3" s="1"/>
  <c r="AK194" i="3" s="1"/>
  <c r="AK195" i="3" s="1"/>
  <c r="AK196" i="3" s="1"/>
  <c r="AK197" i="3" s="1"/>
  <c r="AK198" i="3" s="1"/>
  <c r="AK199" i="3" s="1"/>
  <c r="AK200" i="3" s="1"/>
  <c r="AK201" i="3" s="1"/>
  <c r="AK202" i="3" s="1"/>
  <c r="AK203" i="3" s="1"/>
  <c r="AK204" i="3" s="1"/>
  <c r="AK205" i="3" s="1"/>
  <c r="AK206" i="3" s="1"/>
  <c r="AK207" i="3" s="1"/>
  <c r="AK208" i="3" s="1"/>
  <c r="AK209" i="3" s="1"/>
  <c r="AK210" i="3" s="1"/>
  <c r="AK211" i="3" s="1"/>
  <c r="AK212" i="3" s="1"/>
  <c r="AK213" i="3" s="1"/>
  <c r="AK214" i="3" s="1"/>
  <c r="AK215" i="3" s="1"/>
  <c r="AK216" i="3" s="1"/>
  <c r="AK217" i="3" s="1"/>
  <c r="AK218" i="3" s="1"/>
  <c r="AK219" i="3" s="1"/>
  <c r="AK220" i="3" s="1"/>
  <c r="AK221" i="3" s="1"/>
  <c r="AK222" i="3" s="1"/>
  <c r="AK223" i="3" s="1"/>
  <c r="AK224" i="3" s="1"/>
  <c r="AK225" i="3" s="1"/>
  <c r="AK226" i="3" s="1"/>
  <c r="AK227" i="3" s="1"/>
  <c r="AK228" i="3" s="1"/>
  <c r="AK229" i="3" s="1"/>
  <c r="AK230" i="3" s="1"/>
  <c r="AK231" i="3" s="1"/>
  <c r="AK232" i="3" s="1"/>
  <c r="AK233" i="3" s="1"/>
  <c r="AK234" i="3" s="1"/>
  <c r="AK235" i="3" s="1"/>
  <c r="AK236" i="3" s="1"/>
  <c r="AK237" i="3" s="1"/>
  <c r="AK238" i="3" s="1"/>
  <c r="AK239" i="3" s="1"/>
  <c r="AK240" i="3" s="1"/>
  <c r="AK241" i="3" s="1"/>
  <c r="AK242" i="3" s="1"/>
  <c r="AK243" i="3" s="1"/>
  <c r="AK244" i="3" s="1"/>
  <c r="AK245" i="3" s="1"/>
  <c r="AK246" i="3" s="1"/>
  <c r="AK247" i="3" s="1"/>
  <c r="AK248" i="3" s="1"/>
  <c r="AK249" i="3" s="1"/>
  <c r="AK250" i="3" s="1"/>
  <c r="AK251" i="3" s="1"/>
  <c r="AK252" i="3" s="1"/>
  <c r="AK253" i="3" s="1"/>
  <c r="AK254" i="3" s="1"/>
  <c r="AK255" i="3" s="1"/>
  <c r="AK256" i="3" s="1"/>
  <c r="AK257" i="3" s="1"/>
  <c r="AK258" i="3" s="1"/>
  <c r="AK259" i="3" s="1"/>
  <c r="AK260" i="3" s="1"/>
  <c r="AK261" i="3" s="1"/>
  <c r="AK262" i="3" s="1"/>
  <c r="AK263" i="3" s="1"/>
  <c r="AK264" i="3" s="1"/>
  <c r="AK265" i="3" s="1"/>
  <c r="AK266" i="3" s="1"/>
  <c r="AK267" i="3" s="1"/>
  <c r="AK268" i="3" s="1"/>
  <c r="AK269" i="3" s="1"/>
  <c r="AK270" i="3" s="1"/>
  <c r="AK271" i="3" s="1"/>
  <c r="AK272" i="3" s="1"/>
  <c r="AK273" i="3" s="1"/>
  <c r="AK274" i="3" s="1"/>
  <c r="AK275" i="3" s="1"/>
  <c r="BG64" i="3"/>
  <c r="BH64" i="3" s="1"/>
  <c r="BG25" i="3"/>
  <c r="BH25" i="3" s="1"/>
  <c r="BG39" i="3"/>
  <c r="BH39" i="3" s="1"/>
  <c r="BG168" i="3"/>
  <c r="BH168" i="3" s="1"/>
  <c r="BG209" i="3"/>
  <c r="BH209" i="3" s="1"/>
  <c r="BG255" i="3"/>
  <c r="BH255" i="3" s="1"/>
  <c r="BG124" i="3"/>
  <c r="BH124" i="3" s="1"/>
  <c r="BG80" i="3"/>
  <c r="BH80" i="3" s="1"/>
  <c r="BG204" i="3"/>
  <c r="BH204" i="3" s="1"/>
  <c r="BG24" i="3"/>
  <c r="BH24" i="3" s="1"/>
  <c r="BG162" i="3"/>
  <c r="BH162" i="3" s="1"/>
  <c r="BG56" i="3"/>
  <c r="BH56" i="3" s="1"/>
  <c r="BG228" i="3"/>
  <c r="BH228" i="3" s="1"/>
  <c r="BG240" i="3"/>
  <c r="BH240" i="3" s="1"/>
  <c r="BG231" i="3"/>
  <c r="BH231" i="3" s="1"/>
  <c r="BG260" i="3"/>
  <c r="BH260" i="3" s="1"/>
  <c r="BG222" i="3"/>
  <c r="BH222" i="3" s="1"/>
  <c r="BG116" i="3"/>
  <c r="BH116" i="3" s="1"/>
  <c r="BG77" i="3"/>
  <c r="BH77" i="3" s="1"/>
  <c r="BG259" i="3"/>
  <c r="BH259" i="3" s="1"/>
  <c r="BG68" i="3"/>
  <c r="BH68" i="3" s="1"/>
  <c r="BG254" i="3"/>
  <c r="BH254" i="3" s="1"/>
  <c r="BG245" i="3"/>
  <c r="BH245" i="3" s="1"/>
  <c r="BG85" i="3"/>
  <c r="BH85" i="3" s="1"/>
  <c r="BG200" i="3"/>
  <c r="BH200" i="3" s="1"/>
  <c r="BG113" i="3"/>
  <c r="BH113" i="3" s="1"/>
  <c r="BG36" i="3"/>
  <c r="BH36" i="3" s="1"/>
  <c r="BG89" i="3"/>
  <c r="BH89" i="3" s="1"/>
  <c r="BG244" i="3"/>
  <c r="BH244" i="3" s="1"/>
  <c r="BG164" i="3"/>
  <c r="BH164" i="3" s="1"/>
  <c r="BG242" i="3"/>
  <c r="BH242" i="3" s="1"/>
  <c r="BG101" i="3"/>
  <c r="BH101" i="3" s="1"/>
  <c r="BG220" i="3"/>
  <c r="BH220" i="3" s="1"/>
  <c r="BG114" i="3"/>
  <c r="BH114" i="3" s="1"/>
  <c r="BG34" i="3"/>
  <c r="BH34" i="3" s="1"/>
  <c r="BG111" i="3"/>
  <c r="BH111" i="3" s="1"/>
  <c r="BG183" i="3"/>
  <c r="BH183" i="3" s="1"/>
  <c r="BG97" i="3"/>
  <c r="BH97" i="3" s="1"/>
  <c r="BG248" i="3"/>
  <c r="BH248" i="3" s="1"/>
  <c r="BG18" i="3"/>
  <c r="BH18" i="3" s="1"/>
  <c r="BG185" i="3"/>
  <c r="BH185" i="3" s="1"/>
  <c r="BG239" i="3"/>
  <c r="BH239" i="3" s="1"/>
  <c r="BG249" i="3"/>
  <c r="BH249" i="3" s="1"/>
  <c r="BG235" i="3"/>
  <c r="BH235" i="3" s="1"/>
  <c r="BG203" i="3"/>
  <c r="BH203" i="3" s="1"/>
  <c r="BG37" i="3"/>
  <c r="BH37" i="3" s="1"/>
  <c r="BG264" i="3"/>
  <c r="BH264" i="3" s="1"/>
  <c r="BG229" i="3"/>
  <c r="BH229" i="3" s="1"/>
  <c r="BG86" i="3"/>
  <c r="BH86" i="3" s="1"/>
  <c r="BG30" i="3"/>
  <c r="BH30" i="3" s="1"/>
  <c r="BG186" i="3"/>
  <c r="BH186" i="3" s="1"/>
  <c r="BG60" i="3"/>
  <c r="BH60" i="3" s="1"/>
  <c r="BG201" i="3"/>
  <c r="BH201" i="3" s="1"/>
  <c r="BG75" i="3"/>
  <c r="BH75" i="3" s="1"/>
  <c r="BG175" i="3"/>
  <c r="BH175" i="3" s="1"/>
  <c r="AH127" i="4"/>
  <c r="AH68" i="4"/>
  <c r="AH132" i="4"/>
  <c r="AH47" i="4"/>
  <c r="BG212" i="3"/>
  <c r="BH212" i="3" s="1"/>
  <c r="BG134" i="3"/>
  <c r="BH134" i="3" s="1"/>
  <c r="BG139" i="3"/>
  <c r="BH139" i="3" s="1"/>
  <c r="BG47" i="3"/>
  <c r="BH47" i="3" s="1"/>
  <c r="BG177" i="3"/>
  <c r="BH177" i="3" s="1"/>
  <c r="BG226" i="3"/>
  <c r="BH226" i="3" s="1"/>
  <c r="BG102" i="3"/>
  <c r="BH102" i="3" s="1"/>
  <c r="BG53" i="3"/>
  <c r="BH53" i="3" s="1"/>
  <c r="BG99" i="3"/>
  <c r="BH99" i="3" s="1"/>
  <c r="BG49" i="3"/>
  <c r="BH49" i="3" s="1"/>
  <c r="BG182" i="3"/>
  <c r="BH182" i="3" s="1"/>
  <c r="BG270" i="3"/>
  <c r="BH270" i="3" s="1"/>
  <c r="BG147" i="3"/>
  <c r="BH147" i="3" s="1"/>
  <c r="BG79" i="3"/>
  <c r="BH79" i="3" s="1"/>
  <c r="BG76" i="3"/>
  <c r="BH76" i="3" s="1"/>
  <c r="BG40" i="3"/>
  <c r="BH40" i="3" s="1"/>
  <c r="BG187" i="3"/>
  <c r="BH187" i="3" s="1"/>
  <c r="BG251" i="3"/>
  <c r="BH251" i="3" s="1"/>
  <c r="BG171" i="3"/>
  <c r="BH171" i="3" s="1"/>
  <c r="BG103" i="3"/>
  <c r="BH103" i="3" s="1"/>
  <c r="BG213" i="3"/>
  <c r="BH213" i="3" s="1"/>
  <c r="BG115" i="3"/>
  <c r="BH115" i="3" s="1"/>
  <c r="BG69" i="3"/>
  <c r="BH69" i="3" s="1"/>
  <c r="BG157" i="3"/>
  <c r="BH157" i="3" s="1"/>
  <c r="BG243" i="3"/>
  <c r="BH243" i="3" s="1"/>
  <c r="BG219" i="3"/>
  <c r="BH219" i="3" s="1"/>
  <c r="BG58" i="3"/>
  <c r="BH58" i="3" s="1"/>
  <c r="BG41" i="3"/>
  <c r="BH41" i="3" s="1"/>
  <c r="BG127" i="3"/>
  <c r="BH127" i="3" s="1"/>
  <c r="BG130" i="3"/>
  <c r="BH130" i="3" s="1"/>
  <c r="BG154" i="3"/>
  <c r="BH154" i="3" s="1"/>
  <c r="BG176" i="3"/>
  <c r="BH176" i="3" s="1"/>
  <c r="BG267" i="3"/>
  <c r="BH267" i="3" s="1"/>
  <c r="BG105" i="3"/>
  <c r="BH105" i="3" s="1"/>
  <c r="BG129" i="3"/>
  <c r="BH129" i="3" s="1"/>
  <c r="BG32" i="3"/>
  <c r="BH32" i="3" s="1"/>
  <c r="BG192" i="3"/>
  <c r="BH192" i="3" s="1"/>
  <c r="BG189" i="3"/>
  <c r="BH189" i="3" s="1"/>
  <c r="BG225" i="3"/>
  <c r="BH225" i="3" s="1"/>
  <c r="BG161" i="3"/>
  <c r="BH161" i="3" s="1"/>
  <c r="BG117" i="3"/>
  <c r="BH117" i="3" s="1"/>
  <c r="BG82" i="3"/>
  <c r="BH82" i="3" s="1"/>
  <c r="BG90" i="3"/>
  <c r="BH90" i="3" s="1"/>
  <c r="BG84" i="3"/>
  <c r="BH84" i="3" s="1"/>
  <c r="BG112" i="3"/>
  <c r="BH112" i="3" s="1"/>
  <c r="BG216" i="3"/>
  <c r="BH216" i="3" s="1"/>
  <c r="BG158" i="3"/>
  <c r="BH158" i="3" s="1"/>
  <c r="BG198" i="3"/>
  <c r="BH198" i="3" s="1"/>
  <c r="BG17" i="3"/>
  <c r="BH17" i="3" s="1"/>
  <c r="BG184" i="3"/>
  <c r="BH184" i="3" s="1"/>
  <c r="BG95" i="3"/>
  <c r="BH95" i="3" s="1"/>
  <c r="BG133" i="3"/>
  <c r="BH133" i="3" s="1"/>
  <c r="BG173" i="3"/>
  <c r="BH173" i="3" s="1"/>
  <c r="BG28" i="3"/>
  <c r="BH28" i="3" s="1"/>
  <c r="BG256" i="3"/>
  <c r="BH256" i="3" s="1"/>
  <c r="BG96" i="3"/>
  <c r="BH96" i="3" s="1"/>
  <c r="AH106" i="4"/>
  <c r="AH230" i="4"/>
  <c r="AH80" i="4"/>
  <c r="AH237" i="4"/>
  <c r="BG166" i="3"/>
  <c r="BH166" i="3" s="1"/>
  <c r="BG78" i="3"/>
  <c r="BH78" i="3" s="1"/>
  <c r="BG128" i="3"/>
  <c r="BH128" i="3" s="1"/>
  <c r="BG21" i="3"/>
  <c r="BH21" i="3" s="1"/>
  <c r="BG51" i="3"/>
  <c r="BH51" i="3" s="1"/>
  <c r="BG144" i="3"/>
  <c r="BH144" i="3" s="1"/>
  <c r="BG170" i="3"/>
  <c r="BH170" i="3" s="1"/>
  <c r="BG119" i="3"/>
  <c r="BH119" i="3" s="1"/>
  <c r="BG167" i="3"/>
  <c r="BH167" i="3" s="1"/>
  <c r="BG71" i="3"/>
  <c r="BH71" i="3" s="1"/>
  <c r="BG206" i="3"/>
  <c r="BH206" i="3" s="1"/>
  <c r="BG148" i="3"/>
  <c r="BH148" i="3" s="1"/>
  <c r="BG179" i="3"/>
  <c r="BH179" i="3" s="1"/>
  <c r="BG246" i="3"/>
  <c r="BH246" i="3" s="1"/>
  <c r="BG61" i="3"/>
  <c r="BH61" i="3" s="1"/>
  <c r="BG217" i="3"/>
  <c r="BH217" i="3" s="1"/>
  <c r="BG215" i="3"/>
  <c r="BH215" i="3" s="1"/>
  <c r="BG155" i="3"/>
  <c r="BH155" i="3" s="1"/>
  <c r="BG169" i="3"/>
  <c r="BH169" i="3" s="1"/>
  <c r="BG22" i="3"/>
  <c r="BH22" i="3" s="1"/>
  <c r="BG93" i="3"/>
  <c r="BH93" i="3" s="1"/>
  <c r="BG142" i="3"/>
  <c r="BH142" i="3" s="1"/>
  <c r="BG81" i="3"/>
  <c r="BH81" i="3" s="1"/>
  <c r="BG121" i="3"/>
  <c r="BH121" i="3" s="1"/>
  <c r="BG29" i="3"/>
  <c r="BH29" i="3" s="1"/>
  <c r="BG65" i="3"/>
  <c r="BH65" i="3" s="1"/>
  <c r="BG27" i="3"/>
  <c r="BH27" i="3" s="1"/>
  <c r="BG146" i="3"/>
  <c r="BH146" i="3" s="1"/>
  <c r="AH137" i="4"/>
  <c r="AH130" i="4"/>
  <c r="AH88" i="4"/>
  <c r="AH51" i="4"/>
  <c r="AH81" i="4"/>
  <c r="AH19" i="4"/>
  <c r="AH109" i="4"/>
  <c r="AH52" i="4"/>
  <c r="AH168" i="4"/>
  <c r="AH231" i="4"/>
  <c r="AH22" i="4"/>
  <c r="AH53" i="4"/>
  <c r="AH149" i="4"/>
  <c r="AH65" i="4"/>
  <c r="AH191" i="4"/>
  <c r="AH128" i="4"/>
  <c r="BG188" i="3"/>
  <c r="BH188" i="3" s="1"/>
  <c r="BG125" i="3"/>
  <c r="BH125" i="3" s="1"/>
  <c r="BG54" i="3"/>
  <c r="BH54" i="3" s="1"/>
  <c r="BG271" i="3"/>
  <c r="BH271" i="3" s="1"/>
  <c r="BG172" i="3"/>
  <c r="BH172" i="3" s="1"/>
  <c r="BG238" i="3"/>
  <c r="BH238" i="3" s="1"/>
  <c r="BG131" i="3"/>
  <c r="BH131" i="3" s="1"/>
  <c r="BG26" i="3"/>
  <c r="BH26" i="3" s="1"/>
  <c r="BG136" i="3"/>
  <c r="BH136" i="3" s="1"/>
  <c r="BG137" i="3"/>
  <c r="BH137" i="3" s="1"/>
  <c r="BG43" i="3"/>
  <c r="BH43" i="3" s="1"/>
  <c r="AH213" i="4"/>
  <c r="AH183" i="4"/>
  <c r="AH157" i="4"/>
  <c r="AH258" i="4"/>
  <c r="AH151" i="4"/>
  <c r="AH215" i="4"/>
  <c r="AH13" i="4"/>
  <c r="AH198" i="4"/>
  <c r="AH30" i="4"/>
  <c r="AH246" i="4"/>
  <c r="AH46" i="4"/>
  <c r="AH173" i="4"/>
  <c r="AH77" i="4"/>
  <c r="AH225" i="4"/>
  <c r="AH49" i="4"/>
  <c r="AH177" i="4"/>
  <c r="AH16" i="4"/>
  <c r="BG92" i="3"/>
  <c r="BH92" i="3" s="1"/>
  <c r="BG48" i="3"/>
  <c r="BH48" i="3" s="1"/>
  <c r="BG269" i="3"/>
  <c r="BH269" i="3" s="1"/>
  <c r="BG123" i="3"/>
  <c r="BH123" i="3" s="1"/>
  <c r="BG159" i="3"/>
  <c r="BH159" i="3" s="1"/>
  <c r="BG108" i="3"/>
  <c r="BH108" i="3" s="1"/>
  <c r="BG57" i="3"/>
  <c r="BH57" i="3" s="1"/>
  <c r="AH193" i="4"/>
  <c r="AH131" i="4"/>
  <c r="AH240" i="4"/>
  <c r="AH143" i="4"/>
  <c r="AH197" i="4"/>
  <c r="AH21" i="4"/>
  <c r="AH232" i="4"/>
  <c r="AH76" i="4"/>
  <c r="AH222" i="4"/>
  <c r="AH87" i="4"/>
  <c r="AH140" i="4"/>
  <c r="AH26" i="4"/>
  <c r="AH9" i="4"/>
  <c r="AH44" i="4"/>
  <c r="AH23" i="4"/>
  <c r="AH40" i="4"/>
  <c r="BG268" i="3"/>
  <c r="BH268" i="3" s="1"/>
  <c r="BG150" i="3"/>
  <c r="BH150" i="3" s="1"/>
  <c r="BG266" i="3"/>
  <c r="BH266" i="3" s="1"/>
  <c r="BG236" i="3"/>
  <c r="BH236" i="3" s="1"/>
  <c r="BG152" i="3"/>
  <c r="BH152" i="3" s="1"/>
  <c r="BG194" i="3"/>
  <c r="BH194" i="3" s="1"/>
  <c r="BG250" i="3"/>
  <c r="BH250" i="3" s="1"/>
  <c r="BG263" i="3"/>
  <c r="BH263" i="3" s="1"/>
  <c r="BG234" i="3"/>
  <c r="BH234" i="3" s="1"/>
  <c r="BG211" i="3"/>
  <c r="BH211" i="3" s="1"/>
  <c r="BG140" i="3"/>
  <c r="BH140" i="3" s="1"/>
  <c r="AH156" i="4"/>
  <c r="AH164" i="4"/>
  <c r="AH185" i="4"/>
  <c r="AH69" i="4"/>
  <c r="AH83" i="4"/>
  <c r="AH105" i="4"/>
  <c r="AH206" i="4"/>
  <c r="AH62" i="4"/>
  <c r="AH37" i="4"/>
  <c r="AH190" i="4"/>
  <c r="AH104" i="4"/>
  <c r="AH219" i="4"/>
  <c r="AH155" i="4"/>
  <c r="AH93" i="4"/>
  <c r="AH208" i="4"/>
  <c r="AH20" i="4"/>
  <c r="AH61" i="4"/>
  <c r="AH166" i="4"/>
  <c r="AH211" i="4"/>
  <c r="AH102" i="4"/>
  <c r="AH204" i="4"/>
  <c r="AH70" i="4"/>
  <c r="AH100" i="4"/>
  <c r="AH244" i="4"/>
  <c r="AH36" i="4"/>
  <c r="AH257" i="4"/>
  <c r="AH254" i="4"/>
  <c r="AH122" i="4"/>
  <c r="AH212" i="4"/>
  <c r="AH229" i="4"/>
  <c r="AH11" i="4"/>
  <c r="AH146" i="4"/>
  <c r="AH162" i="4"/>
  <c r="AH259" i="4"/>
  <c r="AH141" i="4"/>
  <c r="AH60" i="4"/>
  <c r="AH252" i="4"/>
  <c r="AH216" i="4"/>
  <c r="AH218" i="4"/>
  <c r="AH256" i="4"/>
  <c r="AH264" i="4"/>
  <c r="AH199" i="4"/>
  <c r="AH184" i="4"/>
  <c r="AH175" i="4"/>
  <c r="AH107" i="4"/>
  <c r="AH55" i="4"/>
  <c r="AH159" i="4"/>
  <c r="AH227" i="4"/>
  <c r="AH187" i="4"/>
  <c r="AH186" i="4"/>
  <c r="AH135" i="4"/>
  <c r="AH209" i="4"/>
  <c r="AH59" i="4"/>
  <c r="AH97" i="4"/>
  <c r="AH10" i="4"/>
  <c r="AH66" i="4"/>
  <c r="AH41" i="4"/>
  <c r="AH73" i="4"/>
  <c r="AH165" i="4"/>
  <c r="AH31" i="4"/>
  <c r="AH113" i="4"/>
  <c r="AH133" i="4"/>
  <c r="AH90" i="4"/>
  <c r="AH119" i="4"/>
  <c r="AH103" i="4"/>
  <c r="BG106" i="3"/>
  <c r="BH106" i="3" s="1"/>
  <c r="BG63" i="3"/>
  <c r="BH63" i="3" s="1"/>
  <c r="BG272" i="3"/>
  <c r="BH272" i="3" s="1"/>
  <c r="BG20" i="3"/>
  <c r="BH20" i="3" s="1"/>
  <c r="BG214" i="3"/>
  <c r="BH214" i="3" s="1"/>
  <c r="BG55" i="3"/>
  <c r="BH55" i="3" s="1"/>
  <c r="BG210" i="3"/>
  <c r="BH210" i="3" s="1"/>
  <c r="BG122" i="3"/>
  <c r="BH122" i="3" s="1"/>
  <c r="BG83" i="3"/>
  <c r="BH83" i="3" s="1"/>
  <c r="BG151" i="3"/>
  <c r="BH151" i="3" s="1"/>
  <c r="AH120" i="4"/>
  <c r="AH85" i="4"/>
  <c r="AH14" i="4"/>
  <c r="AH121" i="4"/>
  <c r="AH114" i="4"/>
  <c r="AH39" i="4"/>
  <c r="AH117" i="4"/>
  <c r="AH228" i="4"/>
  <c r="AH125" i="4"/>
  <c r="AH126" i="4"/>
  <c r="AH99" i="4"/>
  <c r="AH247" i="4"/>
  <c r="AH42" i="4"/>
  <c r="AH261" i="4"/>
  <c r="AH108" i="4"/>
  <c r="AH142" i="4"/>
  <c r="AH223" i="4"/>
  <c r="AH7" i="4"/>
  <c r="AH112" i="4"/>
  <c r="AH72" i="4"/>
  <c r="AH118" i="4"/>
  <c r="AH167" i="4"/>
  <c r="AH129" i="4"/>
  <c r="AH96" i="4"/>
  <c r="AH179" i="4"/>
  <c r="AH145" i="4"/>
  <c r="AH169" i="4"/>
  <c r="AH234" i="4"/>
  <c r="AH203" i="4"/>
  <c r="AH181" i="4"/>
  <c r="AH226" i="4"/>
  <c r="AH124" i="4"/>
  <c r="AH15" i="4"/>
  <c r="AH263" i="4"/>
  <c r="AH242" i="4"/>
  <c r="AH24" i="4"/>
  <c r="AH235" i="4"/>
  <c r="AH67" i="4"/>
  <c r="AH265" i="4"/>
  <c r="AH84" i="4"/>
  <c r="AH262" i="4"/>
  <c r="AH75" i="4"/>
  <c r="AH251" i="4"/>
  <c r="AH91" i="4"/>
  <c r="AH182" i="4"/>
  <c r="AH202" i="4"/>
  <c r="AH116" i="4"/>
  <c r="AH45" i="4"/>
  <c r="AH170" i="4"/>
  <c r="AH253" i="4"/>
  <c r="AH95" i="4"/>
  <c r="AH56" i="4"/>
  <c r="AH189" i="4"/>
  <c r="AH161" i="4"/>
  <c r="AH266" i="4"/>
  <c r="AH33" i="4"/>
  <c r="AH134" i="4"/>
  <c r="AH150" i="4"/>
  <c r="AH148" i="4"/>
  <c r="AH243" i="4"/>
  <c r="AH171" i="4"/>
  <c r="AH249" i="4"/>
  <c r="AH192" i="4"/>
  <c r="AH115" i="4"/>
  <c r="AH54" i="4"/>
  <c r="AH123" i="4"/>
  <c r="AH236" i="4"/>
  <c r="AH194" i="4"/>
  <c r="AH71" i="4"/>
  <c r="AH28" i="4"/>
  <c r="AH172" i="4"/>
  <c r="AH174" i="4"/>
  <c r="AH25" i="4"/>
  <c r="AH160" i="4"/>
  <c r="AH64" i="4"/>
  <c r="AH180" i="4"/>
  <c r="AH238" i="4"/>
  <c r="AH58" i="4"/>
  <c r="AH89" i="4"/>
  <c r="AH38" i="4"/>
  <c r="AH29" i="4"/>
  <c r="AH207" i="4"/>
  <c r="AH138" i="4"/>
  <c r="AH74" i="4"/>
  <c r="AH82" i="4"/>
  <c r="AH27" i="4"/>
  <c r="AH139" i="4"/>
  <c r="AH195" i="4"/>
  <c r="AH78" i="4"/>
  <c r="AH17" i="4"/>
  <c r="AH248" i="4"/>
  <c r="AH43" i="4"/>
  <c r="AH110" i="4"/>
  <c r="AH196" i="4"/>
  <c r="AH144" i="4"/>
  <c r="AH217" i="4"/>
  <c r="AH32" i="4"/>
  <c r="AH188" i="4"/>
  <c r="AH178" i="4"/>
  <c r="AH260" i="4"/>
  <c r="AH63" i="4"/>
  <c r="AH239" i="4"/>
  <c r="AH210" i="4"/>
  <c r="AH152" i="4"/>
  <c r="AH245" i="4"/>
  <c r="AH205" i="4"/>
  <c r="AH255" i="4"/>
  <c r="AH86" i="4"/>
  <c r="AH220" i="4"/>
  <c r="AH79" i="4"/>
  <c r="AH18" i="4"/>
  <c r="AH201" i="4"/>
  <c r="AH34" i="4"/>
  <c r="AH57" i="4"/>
  <c r="AH163" i="4"/>
  <c r="AH8" i="4"/>
  <c r="AH224" i="4"/>
  <c r="AH241" i="4"/>
  <c r="AH153" i="4"/>
  <c r="AH250" i="4"/>
  <c r="AH176" i="4"/>
  <c r="AH214" i="4"/>
  <c r="AH233" i="4"/>
  <c r="AH111" i="4"/>
  <c r="AH147" i="4"/>
  <c r="AH136" i="4"/>
  <c r="AH200" i="4"/>
  <c r="AH101" i="4"/>
  <c r="AH94" i="4"/>
  <c r="AH154" i="4"/>
  <c r="Y47" i="3"/>
  <c r="W48" i="3"/>
  <c r="J41" i="8"/>
  <c r="F41" i="5"/>
  <c r="A45" i="5"/>
  <c r="A45" i="8"/>
  <c r="AE43" i="3"/>
  <c r="X44" i="3"/>
  <c r="X45" i="3" l="1"/>
  <c r="AE44" i="3"/>
  <c r="J42" i="8"/>
  <c r="F42" i="5"/>
  <c r="Y48" i="3"/>
  <c r="W49" i="3"/>
  <c r="A46" i="5"/>
  <c r="A46" i="8"/>
  <c r="W50" i="3" l="1"/>
  <c r="Y49" i="3"/>
  <c r="F43" i="5"/>
  <c r="J43" i="8"/>
  <c r="A47" i="8"/>
  <c r="A47" i="5"/>
  <c r="AE45" i="3"/>
  <c r="X46" i="3"/>
  <c r="J44" i="8" l="1"/>
  <c r="F44" i="5"/>
  <c r="AE46" i="3"/>
  <c r="X47" i="3"/>
  <c r="A48" i="8"/>
  <c r="A48" i="5"/>
  <c r="W51" i="3"/>
  <c r="Y50" i="3"/>
  <c r="Y51" i="3" l="1"/>
  <c r="W52" i="3"/>
  <c r="J45" i="8"/>
  <c r="F45" i="5"/>
  <c r="X48" i="3"/>
  <c r="AE47" i="3"/>
  <c r="A49" i="5"/>
  <c r="A49" i="8"/>
  <c r="Y52" i="3" l="1"/>
  <c r="W53" i="3"/>
  <c r="J46" i="8"/>
  <c r="F46" i="5"/>
  <c r="X49" i="3"/>
  <c r="AE48" i="3"/>
  <c r="A50" i="8"/>
  <c r="A50" i="5"/>
  <c r="J47" i="8" l="1"/>
  <c r="F47" i="5"/>
  <c r="W54" i="3"/>
  <c r="Y53" i="3"/>
  <c r="X50" i="3"/>
  <c r="AE49" i="3"/>
  <c r="A51" i="5"/>
  <c r="A51" i="8"/>
  <c r="A52" i="5" l="1"/>
  <c r="A52" i="8"/>
  <c r="W55" i="3"/>
  <c r="Y54" i="3"/>
  <c r="J48" i="8"/>
  <c r="F48" i="5"/>
  <c r="X51" i="3"/>
  <c r="AE50" i="3"/>
  <c r="F49" i="5" l="1"/>
  <c r="J49" i="8"/>
  <c r="W56" i="3"/>
  <c r="Y55" i="3"/>
  <c r="A53" i="8"/>
  <c r="A53" i="5"/>
  <c r="AE51" i="3"/>
  <c r="X52" i="3"/>
  <c r="J50" i="8" l="1"/>
  <c r="F50" i="5"/>
  <c r="X53" i="3"/>
  <c r="AE52" i="3"/>
  <c r="A54" i="5"/>
  <c r="A54" i="8"/>
  <c r="W57" i="3"/>
  <c r="Y56" i="3"/>
  <c r="A55" i="8" l="1"/>
  <c r="A55" i="5"/>
  <c r="Y57" i="3"/>
  <c r="W58" i="3"/>
  <c r="J51" i="8"/>
  <c r="F51" i="5"/>
  <c r="AE53" i="3"/>
  <c r="X54" i="3"/>
  <c r="A56" i="8" l="1"/>
  <c r="A56" i="5"/>
  <c r="W59" i="3"/>
  <c r="Y58" i="3"/>
  <c r="AE54" i="3"/>
  <c r="X55" i="3"/>
  <c r="F52" i="5"/>
  <c r="J52" i="8"/>
  <c r="A57" i="5" l="1"/>
  <c r="A57" i="8"/>
  <c r="W60" i="3"/>
  <c r="Y59" i="3"/>
  <c r="X56" i="3"/>
  <c r="AE55" i="3"/>
  <c r="J53" i="8"/>
  <c r="F53" i="5"/>
  <c r="Y60" i="3" l="1"/>
  <c r="W61" i="3"/>
  <c r="F54" i="5"/>
  <c r="J54" i="8"/>
  <c r="A58" i="5"/>
  <c r="A58" i="8"/>
  <c r="AE56" i="3"/>
  <c r="X57" i="3"/>
  <c r="AE57" i="3" l="1"/>
  <c r="X58" i="3"/>
  <c r="F55" i="5"/>
  <c r="J55" i="8"/>
  <c r="W62" i="3"/>
  <c r="Y61" i="3"/>
  <c r="A59" i="8"/>
  <c r="A59" i="5"/>
  <c r="Y62" i="3" l="1"/>
  <c r="W63" i="3"/>
  <c r="A60" i="8"/>
  <c r="A60" i="5"/>
  <c r="AE58" i="3"/>
  <c r="X59" i="3"/>
  <c r="J56" i="8"/>
  <c r="F56" i="5"/>
  <c r="X60" i="3" l="1"/>
  <c r="AE59" i="3"/>
  <c r="Y63" i="3"/>
  <c r="W64" i="3"/>
  <c r="F57" i="5"/>
  <c r="J57" i="8"/>
  <c r="A61" i="5"/>
  <c r="A61" i="8"/>
  <c r="Y64" i="3" l="1"/>
  <c r="W65" i="3"/>
  <c r="A62" i="5"/>
  <c r="A62" i="8"/>
  <c r="J58" i="8"/>
  <c r="F58" i="5"/>
  <c r="X61" i="3"/>
  <c r="AE60" i="3"/>
  <c r="AE61" i="3" l="1"/>
  <c r="X62" i="3"/>
  <c r="F59" i="5"/>
  <c r="J59" i="8"/>
  <c r="Y65" i="3"/>
  <c r="W66" i="3"/>
  <c r="A63" i="8"/>
  <c r="A63" i="5"/>
  <c r="W67" i="3" l="1"/>
  <c r="Y66" i="3"/>
  <c r="AE62" i="3"/>
  <c r="X63" i="3"/>
  <c r="A64" i="5"/>
  <c r="A64" i="8"/>
  <c r="J60" i="8"/>
  <c r="F60" i="5"/>
  <c r="F61" i="5" l="1"/>
  <c r="J61" i="8"/>
  <c r="A65" i="5"/>
  <c r="A65" i="8"/>
  <c r="AE63" i="3"/>
  <c r="X64" i="3"/>
  <c r="W68" i="3"/>
  <c r="Y67" i="3"/>
  <c r="Y68" i="3" l="1"/>
  <c r="W69" i="3"/>
  <c r="X65" i="3"/>
  <c r="AE64" i="3"/>
  <c r="A66" i="8"/>
  <c r="A66" i="5"/>
  <c r="F62" i="5"/>
  <c r="J62" i="8"/>
  <c r="AE65" i="3" l="1"/>
  <c r="X66" i="3"/>
  <c r="W70" i="3"/>
  <c r="Y69" i="3"/>
  <c r="J63" i="8"/>
  <c r="F63" i="5"/>
  <c r="A67" i="8"/>
  <c r="A67" i="5"/>
  <c r="X67" i="3" l="1"/>
  <c r="AE66" i="3"/>
  <c r="A68" i="5"/>
  <c r="A68" i="8"/>
  <c r="W71" i="3"/>
  <c r="Y70" i="3"/>
  <c r="F64" i="5"/>
  <c r="J64" i="8"/>
  <c r="J65" i="8" l="1"/>
  <c r="F65" i="5"/>
  <c r="A69" i="8"/>
  <c r="A69" i="5"/>
  <c r="Y71" i="3"/>
  <c r="W72" i="3"/>
  <c r="AE67" i="3"/>
  <c r="X68" i="3"/>
  <c r="X69" i="3" l="1"/>
  <c r="AE68" i="3"/>
  <c r="J66" i="8"/>
  <c r="F66" i="5"/>
  <c r="W73" i="3"/>
  <c r="Y72" i="3"/>
  <c r="A70" i="8"/>
  <c r="A70" i="5"/>
  <c r="F67" i="5" l="1"/>
  <c r="J67" i="8"/>
  <c r="A71" i="5"/>
  <c r="A71" i="8"/>
  <c r="W74" i="3"/>
  <c r="Y73" i="3"/>
  <c r="X70" i="3"/>
  <c r="AE69" i="3"/>
  <c r="X71" i="3" l="1"/>
  <c r="AE70" i="3"/>
  <c r="J68" i="8"/>
  <c r="F68" i="5"/>
  <c r="A72" i="5"/>
  <c r="A72" i="8"/>
  <c r="Y74" i="3"/>
  <c r="W75" i="3"/>
  <c r="A73" i="8" l="1"/>
  <c r="A73" i="5"/>
  <c r="J69" i="8"/>
  <c r="F69" i="5"/>
  <c r="Y75" i="3"/>
  <c r="W76" i="3"/>
  <c r="X72" i="3"/>
  <c r="AE71" i="3"/>
  <c r="F70" i="5" l="1"/>
  <c r="J70" i="8"/>
  <c r="W77" i="3"/>
  <c r="Y76" i="3"/>
  <c r="X73" i="3"/>
  <c r="AE72" i="3"/>
  <c r="A74" i="5"/>
  <c r="A74" i="8"/>
  <c r="A75" i="8" l="1"/>
  <c r="A75" i="5"/>
  <c r="J71" i="8"/>
  <c r="F71" i="5"/>
  <c r="Y77" i="3"/>
  <c r="W78" i="3"/>
  <c r="X74" i="3"/>
  <c r="AE73" i="3"/>
  <c r="W79" i="3" l="1"/>
  <c r="Y78" i="3"/>
  <c r="J72" i="8"/>
  <c r="F72" i="5"/>
  <c r="AE74" i="3"/>
  <c r="X75" i="3"/>
  <c r="A76" i="5"/>
  <c r="A76" i="8"/>
  <c r="X76" i="3" l="1"/>
  <c r="AE75" i="3"/>
  <c r="A77" i="8"/>
  <c r="A77" i="5"/>
  <c r="F73" i="5"/>
  <c r="J73" i="8"/>
  <c r="Y79" i="3"/>
  <c r="W80" i="3"/>
  <c r="A78" i="8" l="1"/>
  <c r="A78" i="5"/>
  <c r="J74" i="8"/>
  <c r="F74" i="5"/>
  <c r="W81" i="3"/>
  <c r="Y80" i="3"/>
  <c r="AE76" i="3"/>
  <c r="X77" i="3"/>
  <c r="AE77" i="3" l="1"/>
  <c r="X78" i="3"/>
  <c r="A79" i="8"/>
  <c r="A79" i="5"/>
  <c r="J75" i="8"/>
  <c r="F75" i="5"/>
  <c r="W82" i="3"/>
  <c r="Y81" i="3"/>
  <c r="A80" i="8" l="1"/>
  <c r="A80" i="5"/>
  <c r="AE78" i="3"/>
  <c r="X79" i="3"/>
  <c r="Y82" i="3"/>
  <c r="W83" i="3"/>
  <c r="F76" i="5"/>
  <c r="J76" i="8"/>
  <c r="J77" i="8" l="1"/>
  <c r="F77" i="5"/>
  <c r="Y83" i="3"/>
  <c r="W84" i="3"/>
  <c r="X80" i="3"/>
  <c r="AE79" i="3"/>
  <c r="A81" i="5"/>
  <c r="A81" i="8"/>
  <c r="A82" i="8" l="1"/>
  <c r="A82" i="5"/>
  <c r="J78" i="8"/>
  <c r="F78" i="5"/>
  <c r="Y84" i="3"/>
  <c r="W85" i="3"/>
  <c r="X81" i="3"/>
  <c r="AE80" i="3"/>
  <c r="AE81" i="3" l="1"/>
  <c r="X82" i="3"/>
  <c r="W86" i="3"/>
  <c r="Y85" i="3"/>
  <c r="F79" i="5"/>
  <c r="J79" i="8"/>
  <c r="A83" i="8"/>
  <c r="A83" i="5"/>
  <c r="W87" i="3" l="1"/>
  <c r="Y86" i="3"/>
  <c r="AE82" i="3"/>
  <c r="X83" i="3"/>
  <c r="A84" i="5"/>
  <c r="A84" i="8"/>
  <c r="J80" i="8"/>
  <c r="F80" i="5"/>
  <c r="X84" i="3" l="1"/>
  <c r="AE83" i="3"/>
  <c r="A85" i="8"/>
  <c r="A85" i="5"/>
  <c r="F81" i="5"/>
  <c r="J81" i="8"/>
  <c r="Y87" i="3"/>
  <c r="W88" i="3"/>
  <c r="W89" i="3" l="1"/>
  <c r="Y88" i="3"/>
  <c r="J82" i="8"/>
  <c r="F82" i="5"/>
  <c r="A86" i="5"/>
  <c r="A86" i="8"/>
  <c r="AE84" i="3"/>
  <c r="X85" i="3"/>
  <c r="AE85" i="3" l="1"/>
  <c r="X86" i="3"/>
  <c r="A87" i="8"/>
  <c r="A87" i="5"/>
  <c r="F83" i="5"/>
  <c r="J83" i="8"/>
  <c r="Y89" i="3"/>
  <c r="W90" i="3"/>
  <c r="A88" i="5" l="1"/>
  <c r="A88" i="8"/>
  <c r="X87" i="3"/>
  <c r="AE86" i="3"/>
  <c r="W91" i="3"/>
  <c r="Y90" i="3"/>
  <c r="J84" i="8"/>
  <c r="F84" i="5"/>
  <c r="J85" i="8" l="1"/>
  <c r="F85" i="5"/>
  <c r="A89" i="8"/>
  <c r="A89" i="5"/>
  <c r="X88" i="3"/>
  <c r="AE87" i="3"/>
  <c r="W92" i="3"/>
  <c r="Y91" i="3"/>
  <c r="Y92" i="3" l="1"/>
  <c r="W93" i="3"/>
  <c r="J86" i="8"/>
  <c r="F86" i="5"/>
  <c r="A90" i="5"/>
  <c r="A90" i="8"/>
  <c r="AE88" i="3"/>
  <c r="X89" i="3"/>
  <c r="J87" i="8" l="1"/>
  <c r="F87" i="5"/>
  <c r="AE89" i="3"/>
  <c r="X90" i="3"/>
  <c r="Y93" i="3"/>
  <c r="W94" i="3"/>
  <c r="A91" i="5"/>
  <c r="A91" i="8"/>
  <c r="AE90" i="3" l="1"/>
  <c r="X91" i="3"/>
  <c r="J88" i="8"/>
  <c r="F88" i="5"/>
  <c r="W95" i="3"/>
  <c r="Y94" i="3"/>
  <c r="A92" i="8"/>
  <c r="A92" i="5"/>
  <c r="A93" i="5" l="1"/>
  <c r="A93" i="8"/>
  <c r="X92" i="3"/>
  <c r="AE91" i="3"/>
  <c r="Y95" i="3"/>
  <c r="W96" i="3"/>
  <c r="J89" i="8"/>
  <c r="F89" i="5"/>
  <c r="J90" i="8" l="1"/>
  <c r="F90" i="5"/>
  <c r="AE92" i="3"/>
  <c r="X93" i="3"/>
  <c r="Y96" i="3"/>
  <c r="W97" i="3"/>
  <c r="A94" i="5"/>
  <c r="A94" i="8"/>
  <c r="F91" i="5" l="1"/>
  <c r="J91" i="8"/>
  <c r="W98" i="3"/>
  <c r="Y97" i="3"/>
  <c r="AE93" i="3"/>
  <c r="X94" i="3"/>
  <c r="A95" i="8"/>
  <c r="A95" i="5"/>
  <c r="W99" i="3" l="1"/>
  <c r="Y98" i="3"/>
  <c r="A96" i="8"/>
  <c r="A96" i="5"/>
  <c r="AE94" i="3"/>
  <c r="X95" i="3"/>
  <c r="J92" i="8"/>
  <c r="F92" i="5"/>
  <c r="A97" i="8" l="1"/>
  <c r="A97" i="5"/>
  <c r="X96" i="3"/>
  <c r="AE95" i="3"/>
  <c r="J93" i="8"/>
  <c r="F93" i="5"/>
  <c r="W100" i="3"/>
  <c r="Y99" i="3"/>
  <c r="A98" i="8" l="1"/>
  <c r="A98" i="5"/>
  <c r="W101" i="3"/>
  <c r="Y100" i="3"/>
  <c r="F94" i="5"/>
  <c r="J94" i="8"/>
  <c r="AE96" i="3"/>
  <c r="X97" i="3"/>
  <c r="AE97" i="3" l="1"/>
  <c r="X98" i="3"/>
  <c r="J95" i="8"/>
  <c r="F95" i="5"/>
  <c r="A99" i="8"/>
  <c r="A99" i="5"/>
  <c r="Y101" i="3"/>
  <c r="W102" i="3"/>
  <c r="W103" i="3" l="1"/>
  <c r="Y102" i="3"/>
  <c r="A100" i="8"/>
  <c r="A100" i="5"/>
  <c r="AE98" i="3"/>
  <c r="X99" i="3"/>
  <c r="J96" i="8"/>
  <c r="F96" i="5"/>
  <c r="A101" i="8" l="1"/>
  <c r="A101" i="5"/>
  <c r="X100" i="3"/>
  <c r="AE99" i="3"/>
  <c r="J97" i="8"/>
  <c r="F97" i="5"/>
  <c r="Y103" i="3"/>
  <c r="W104" i="3"/>
  <c r="W105" i="3" l="1"/>
  <c r="Y104" i="3"/>
  <c r="A102" i="5"/>
  <c r="A102" i="8"/>
  <c r="F98" i="5"/>
  <c r="J98" i="8"/>
  <c r="X101" i="3"/>
  <c r="AE100" i="3"/>
  <c r="J99" i="8" l="1"/>
  <c r="F99" i="5"/>
  <c r="X102" i="3"/>
  <c r="AE101" i="3"/>
  <c r="A103" i="8"/>
  <c r="A103" i="5"/>
  <c r="W106" i="3"/>
  <c r="Y105" i="3"/>
  <c r="A104" i="5" l="1"/>
  <c r="A104" i="8"/>
  <c r="J100" i="8"/>
  <c r="F100" i="5"/>
  <c r="W107" i="3"/>
  <c r="Y106" i="3"/>
  <c r="X103" i="3"/>
  <c r="AE102" i="3"/>
  <c r="X104" i="3" l="1"/>
  <c r="AE103" i="3"/>
  <c r="A105" i="5"/>
  <c r="A105" i="8"/>
  <c r="J101" i="8"/>
  <c r="F101" i="5"/>
  <c r="Y107" i="3"/>
  <c r="W108" i="3"/>
  <c r="A106" i="5" l="1"/>
  <c r="A106" i="8"/>
  <c r="J102" i="8"/>
  <c r="F102" i="5"/>
  <c r="Y108" i="3"/>
  <c r="W109" i="3"/>
  <c r="AE104" i="3"/>
  <c r="X105" i="3"/>
  <c r="J103" i="8" l="1"/>
  <c r="F103" i="5"/>
  <c r="X106" i="3"/>
  <c r="AE105" i="3"/>
  <c r="Y109" i="3"/>
  <c r="W110" i="3"/>
  <c r="A107" i="8"/>
  <c r="A107" i="5"/>
  <c r="AE106" i="3" l="1"/>
  <c r="X107" i="3"/>
  <c r="J104" i="8"/>
  <c r="F104" i="5"/>
  <c r="W111" i="3"/>
  <c r="Y110" i="3"/>
  <c r="A108" i="5"/>
  <c r="A108" i="8"/>
  <c r="AE107" i="3" l="1"/>
  <c r="X108" i="3"/>
  <c r="A109" i="5"/>
  <c r="A109" i="8"/>
  <c r="Y111" i="3"/>
  <c r="W112" i="3"/>
  <c r="F105" i="5"/>
  <c r="J105" i="8"/>
  <c r="W113" i="3" l="1"/>
  <c r="Y112" i="3"/>
  <c r="AE108" i="3"/>
  <c r="X109" i="3"/>
  <c r="A110" i="8"/>
  <c r="A110" i="5"/>
  <c r="F106" i="5"/>
  <c r="J106" i="8"/>
  <c r="J107" i="8" l="1"/>
  <c r="F107" i="5"/>
  <c r="X110" i="3"/>
  <c r="AE109" i="3"/>
  <c r="A111" i="8"/>
  <c r="A111" i="5"/>
  <c r="Y113" i="3"/>
  <c r="W114" i="3"/>
  <c r="J108" i="8" l="1"/>
  <c r="F108" i="5"/>
  <c r="AE110" i="3"/>
  <c r="X111" i="3"/>
  <c r="A112" i="8"/>
  <c r="A112" i="5"/>
  <c r="W115" i="3"/>
  <c r="Y114" i="3"/>
  <c r="A113" i="8" l="1"/>
  <c r="A113" i="5"/>
  <c r="AE111" i="3"/>
  <c r="X112" i="3"/>
  <c r="F109" i="5"/>
  <c r="J109" i="8"/>
  <c r="Y115" i="3"/>
  <c r="W116" i="3"/>
  <c r="W117" i="3" l="1"/>
  <c r="Y116" i="3"/>
  <c r="AE112" i="3"/>
  <c r="X113" i="3"/>
  <c r="A114" i="5"/>
  <c r="A114" i="8"/>
  <c r="J110" i="8"/>
  <c r="F110" i="5"/>
  <c r="AE113" i="3" l="1"/>
  <c r="X114" i="3"/>
  <c r="F111" i="5"/>
  <c r="J111" i="8"/>
  <c r="A115" i="8"/>
  <c r="A115" i="5"/>
  <c r="Y117" i="3"/>
  <c r="W118" i="3"/>
  <c r="W119" i="3" l="1"/>
  <c r="Y118" i="3"/>
  <c r="A116" i="8"/>
  <c r="A116" i="5"/>
  <c r="AE114" i="3"/>
  <c r="X115" i="3"/>
  <c r="J112" i="8"/>
  <c r="F112" i="5"/>
  <c r="AE115" i="3" l="1"/>
  <c r="X116" i="3"/>
  <c r="A117" i="8"/>
  <c r="A117" i="5"/>
  <c r="F113" i="5"/>
  <c r="J113" i="8"/>
  <c r="W120" i="3"/>
  <c r="Y119" i="3"/>
  <c r="A118" i="5" l="1"/>
  <c r="A118" i="8"/>
  <c r="W121" i="3"/>
  <c r="Y120" i="3"/>
  <c r="X117" i="3"/>
  <c r="AE116" i="3"/>
  <c r="F114" i="5"/>
  <c r="J114" i="8"/>
  <c r="A119" i="5" l="1"/>
  <c r="A119" i="8"/>
  <c r="W122" i="3"/>
  <c r="Y121" i="3"/>
  <c r="F115" i="5"/>
  <c r="J115" i="8"/>
  <c r="AE117" i="3"/>
  <c r="X118" i="3"/>
  <c r="A120" i="8" l="1"/>
  <c r="A120" i="5"/>
  <c r="W123" i="3"/>
  <c r="Y122" i="3"/>
  <c r="J116" i="8"/>
  <c r="F116" i="5"/>
  <c r="X119" i="3"/>
  <c r="AE118" i="3"/>
  <c r="J117" i="8" l="1"/>
  <c r="F117" i="5"/>
  <c r="X120" i="3"/>
  <c r="AE119" i="3"/>
  <c r="A121" i="8"/>
  <c r="A121" i="5"/>
  <c r="Y123" i="3"/>
  <c r="W124" i="3"/>
  <c r="F118" i="5" l="1"/>
  <c r="J118" i="8"/>
  <c r="W125" i="3"/>
  <c r="Y124" i="3"/>
  <c r="AE120" i="3"/>
  <c r="X121" i="3"/>
  <c r="A122" i="5"/>
  <c r="A122" i="8"/>
  <c r="A123" i="8" l="1"/>
  <c r="A123" i="5"/>
  <c r="W126" i="3"/>
  <c r="Y125" i="3"/>
  <c r="X122" i="3"/>
  <c r="AE121" i="3"/>
  <c r="J119" i="8"/>
  <c r="F119" i="5"/>
  <c r="A124" i="5" l="1"/>
  <c r="A124" i="8"/>
  <c r="W127" i="3"/>
  <c r="Y126" i="3"/>
  <c r="J120" i="8"/>
  <c r="F120" i="5"/>
  <c r="AE122" i="3"/>
  <c r="X123" i="3"/>
  <c r="A125" i="8" l="1"/>
  <c r="A125" i="5"/>
  <c r="F121" i="5"/>
  <c r="J121" i="8"/>
  <c r="Y127" i="3"/>
  <c r="W128" i="3"/>
  <c r="AE123" i="3"/>
  <c r="X124" i="3"/>
  <c r="X125" i="3" l="1"/>
  <c r="AE124" i="3"/>
  <c r="J122" i="8"/>
  <c r="F122" i="5"/>
  <c r="W129" i="3"/>
  <c r="Y128" i="3"/>
  <c r="A126" i="5"/>
  <c r="A126" i="8"/>
  <c r="A127" i="8" l="1"/>
  <c r="A127" i="5"/>
  <c r="F123" i="5"/>
  <c r="J123" i="8"/>
  <c r="W130" i="3"/>
  <c r="Y129" i="3"/>
  <c r="X126" i="3"/>
  <c r="AE125" i="3"/>
  <c r="F124" i="5" l="1"/>
  <c r="J124" i="8"/>
  <c r="X127" i="3"/>
  <c r="AE126" i="3"/>
  <c r="A128" i="5"/>
  <c r="A128" i="8"/>
  <c r="W131" i="3"/>
  <c r="Y130" i="3"/>
  <c r="J125" i="8" l="1"/>
  <c r="F125" i="5"/>
  <c r="A129" i="5"/>
  <c r="A129" i="8"/>
  <c r="W132" i="3"/>
  <c r="Y131" i="3"/>
  <c r="AE127" i="3"/>
  <c r="X128" i="3"/>
  <c r="X129" i="3" l="1"/>
  <c r="AE128" i="3"/>
  <c r="J126" i="8"/>
  <c r="F126" i="5"/>
  <c r="A130" i="5"/>
  <c r="A130" i="8"/>
  <c r="Y132" i="3"/>
  <c r="W133" i="3"/>
  <c r="Y133" i="3" l="1"/>
  <c r="W134" i="3"/>
  <c r="J127" i="8"/>
  <c r="F127" i="5"/>
  <c r="A131" i="8"/>
  <c r="A131" i="5"/>
  <c r="X130" i="3"/>
  <c r="AE129" i="3"/>
  <c r="J128" i="8" l="1"/>
  <c r="F128" i="5"/>
  <c r="X131" i="3"/>
  <c r="AE130" i="3"/>
  <c r="Y134" i="3"/>
  <c r="W135" i="3"/>
  <c r="A132" i="8"/>
  <c r="A132" i="5"/>
  <c r="F129" i="5" l="1"/>
  <c r="J129" i="8"/>
  <c r="AE131" i="3"/>
  <c r="X132" i="3"/>
  <c r="Y135" i="3"/>
  <c r="W136" i="3"/>
  <c r="A133" i="8"/>
  <c r="A133" i="5"/>
  <c r="X133" i="3" l="1"/>
  <c r="AE132" i="3"/>
  <c r="F130" i="5"/>
  <c r="J130" i="8"/>
  <c r="Y136" i="3"/>
  <c r="W137" i="3"/>
  <c r="A134" i="8"/>
  <c r="A134" i="5"/>
  <c r="A135" i="5" l="1"/>
  <c r="A135" i="8"/>
  <c r="W138" i="3"/>
  <c r="Y137" i="3"/>
  <c r="J131" i="8"/>
  <c r="F131" i="5"/>
  <c r="X134" i="3"/>
  <c r="AE133" i="3"/>
  <c r="J132" i="8" l="1"/>
  <c r="F132" i="5"/>
  <c r="AE134" i="3"/>
  <c r="X135" i="3"/>
  <c r="A136" i="8"/>
  <c r="A136" i="5"/>
  <c r="W139" i="3"/>
  <c r="Y138" i="3"/>
  <c r="AE135" i="3" l="1"/>
  <c r="X136" i="3"/>
  <c r="J133" i="8"/>
  <c r="F133" i="5"/>
  <c r="A137" i="5"/>
  <c r="A137" i="8"/>
  <c r="W140" i="3"/>
  <c r="Y139" i="3"/>
  <c r="A138" i="5" l="1"/>
  <c r="A138" i="8"/>
  <c r="W141" i="3"/>
  <c r="Y140" i="3"/>
  <c r="AE136" i="3"/>
  <c r="X137" i="3"/>
  <c r="F134" i="5"/>
  <c r="J134" i="8"/>
  <c r="A139" i="5" l="1"/>
  <c r="A139" i="8"/>
  <c r="W142" i="3"/>
  <c r="Y141" i="3"/>
  <c r="AE137" i="3"/>
  <c r="X138" i="3"/>
  <c r="F135" i="5"/>
  <c r="J135" i="8"/>
  <c r="A140" i="8" l="1"/>
  <c r="A140" i="5"/>
  <c r="W143" i="3"/>
  <c r="Y142" i="3"/>
  <c r="X139" i="3"/>
  <c r="AE138" i="3"/>
  <c r="F136" i="5"/>
  <c r="J136" i="8"/>
  <c r="A141" i="8" l="1"/>
  <c r="A141" i="5"/>
  <c r="Y143" i="3"/>
  <c r="W144" i="3"/>
  <c r="F137" i="5"/>
  <c r="J137" i="8"/>
  <c r="X140" i="3"/>
  <c r="AE139" i="3"/>
  <c r="F138" i="5" l="1"/>
  <c r="J138" i="8"/>
  <c r="W145" i="3"/>
  <c r="Y144" i="3"/>
  <c r="A142" i="8"/>
  <c r="A142" i="5"/>
  <c r="X141" i="3"/>
  <c r="AE140" i="3"/>
  <c r="F139" i="5" l="1"/>
  <c r="J139" i="8"/>
  <c r="W146" i="3"/>
  <c r="Y145" i="3"/>
  <c r="A143" i="5"/>
  <c r="A143" i="8"/>
  <c r="X142" i="3"/>
  <c r="AE141" i="3"/>
  <c r="A144" i="8" l="1"/>
  <c r="A144" i="5"/>
  <c r="AE142" i="3"/>
  <c r="X143" i="3"/>
  <c r="Y146" i="3"/>
  <c r="W147" i="3"/>
  <c r="J140" i="8"/>
  <c r="F140" i="5"/>
  <c r="X144" i="3" l="1"/>
  <c r="AE143" i="3"/>
  <c r="F141" i="5"/>
  <c r="J141" i="8"/>
  <c r="W148" i="3"/>
  <c r="Y147" i="3"/>
  <c r="A145" i="5"/>
  <c r="A145" i="8"/>
  <c r="F142" i="5" l="1"/>
  <c r="J142" i="8"/>
  <c r="A146" i="8"/>
  <c r="A146" i="5"/>
  <c r="Y148" i="3"/>
  <c r="W149" i="3"/>
  <c r="X145" i="3"/>
  <c r="AE144" i="3"/>
  <c r="F143" i="5" l="1"/>
  <c r="J143" i="8"/>
  <c r="AE145" i="3"/>
  <c r="X146" i="3"/>
  <c r="Y149" i="3"/>
  <c r="W150" i="3"/>
  <c r="A147" i="8"/>
  <c r="A147" i="5"/>
  <c r="X147" i="3" l="1"/>
  <c r="AE146" i="3"/>
  <c r="J144" i="8"/>
  <c r="F144" i="5"/>
  <c r="Y150" i="3"/>
  <c r="W151" i="3"/>
  <c r="A148" i="5"/>
  <c r="A148" i="8"/>
  <c r="J145" i="8" l="1"/>
  <c r="F145" i="5"/>
  <c r="Y151" i="3"/>
  <c r="W152" i="3"/>
  <c r="A149" i="8"/>
  <c r="A149" i="5"/>
  <c r="X148" i="3"/>
  <c r="AE147" i="3"/>
  <c r="J146" i="8" l="1"/>
  <c r="F146" i="5"/>
  <c r="W153" i="3"/>
  <c r="Y152" i="3"/>
  <c r="AE148" i="3"/>
  <c r="X149" i="3"/>
  <c r="A150" i="8"/>
  <c r="A150" i="5"/>
  <c r="A151" i="5" l="1"/>
  <c r="A151" i="8"/>
  <c r="X150" i="3"/>
  <c r="AE149" i="3"/>
  <c r="W154" i="3"/>
  <c r="Y153" i="3"/>
  <c r="J147" i="8"/>
  <c r="F147" i="5"/>
  <c r="F148" i="5" l="1"/>
  <c r="J148" i="8"/>
  <c r="A152" i="8"/>
  <c r="A152" i="5"/>
  <c r="AE150" i="3"/>
  <c r="X151" i="3"/>
  <c r="Y154" i="3"/>
  <c r="W155" i="3"/>
  <c r="W156" i="3" l="1"/>
  <c r="Y155" i="3"/>
  <c r="A153" i="5"/>
  <c r="A153" i="8"/>
  <c r="AE151" i="3"/>
  <c r="X152" i="3"/>
  <c r="F149" i="5"/>
  <c r="J149" i="8"/>
  <c r="X153" i="3" l="1"/>
  <c r="AE152" i="3"/>
  <c r="A154" i="8"/>
  <c r="A154" i="5"/>
  <c r="J150" i="8"/>
  <c r="F150" i="5"/>
  <c r="W157" i="3"/>
  <c r="Y156" i="3"/>
  <c r="A155" i="5" l="1"/>
  <c r="A155" i="8"/>
  <c r="Y157" i="3"/>
  <c r="W158" i="3"/>
  <c r="J151" i="8"/>
  <c r="F151" i="5"/>
  <c r="AE153" i="3"/>
  <c r="X154" i="3"/>
  <c r="Y158" i="3" l="1"/>
  <c r="W159" i="3"/>
  <c r="J152" i="8"/>
  <c r="F152" i="5"/>
  <c r="X155" i="3"/>
  <c r="AE154" i="3"/>
  <c r="A156" i="5"/>
  <c r="A156" i="8"/>
  <c r="F153" i="5" l="1"/>
  <c r="J153" i="8"/>
  <c r="Y159" i="3"/>
  <c r="W160" i="3"/>
  <c r="AE155" i="3"/>
  <c r="X156" i="3"/>
  <c r="A157" i="5"/>
  <c r="A157" i="8"/>
  <c r="Y160" i="3" l="1"/>
  <c r="W161" i="3"/>
  <c r="AE156" i="3"/>
  <c r="X157" i="3"/>
  <c r="A158" i="8"/>
  <c r="A158" i="5"/>
  <c r="F154" i="5"/>
  <c r="J154" i="8"/>
  <c r="AE157" i="3" l="1"/>
  <c r="X158" i="3"/>
  <c r="F155" i="5"/>
  <c r="J155" i="8"/>
  <c r="Y161" i="3"/>
  <c r="W162" i="3"/>
  <c r="A159" i="8"/>
  <c r="A159" i="5"/>
  <c r="W163" i="3" l="1"/>
  <c r="Y162" i="3"/>
  <c r="AE158" i="3"/>
  <c r="X159" i="3"/>
  <c r="A160" i="8"/>
  <c r="A160" i="5"/>
  <c r="J156" i="8"/>
  <c r="F156" i="5"/>
  <c r="X160" i="3" l="1"/>
  <c r="AE159" i="3"/>
  <c r="J157" i="8"/>
  <c r="F157" i="5"/>
  <c r="A161" i="5"/>
  <c r="A161" i="8"/>
  <c r="Y163" i="3"/>
  <c r="W164" i="3"/>
  <c r="Y164" i="3" l="1"/>
  <c r="W165" i="3"/>
  <c r="A162" i="8"/>
  <c r="A162" i="5"/>
  <c r="F158" i="5"/>
  <c r="J158" i="8"/>
  <c r="X161" i="3"/>
  <c r="AE160" i="3"/>
  <c r="F159" i="5" l="1"/>
  <c r="J159" i="8"/>
  <c r="AE161" i="3"/>
  <c r="X162" i="3"/>
  <c r="Y165" i="3"/>
  <c r="W166" i="3"/>
  <c r="A163" i="8"/>
  <c r="A163" i="5"/>
  <c r="AE162" i="3" l="1"/>
  <c r="X163" i="3"/>
  <c r="J160" i="8"/>
  <c r="F160" i="5"/>
  <c r="Y166" i="3"/>
  <c r="W167" i="3"/>
  <c r="A164" i="5"/>
  <c r="A164" i="8"/>
  <c r="Y167" i="3" l="1"/>
  <c r="W168" i="3"/>
  <c r="AE163" i="3"/>
  <c r="X164" i="3"/>
  <c r="A165" i="8"/>
  <c r="A165" i="5"/>
  <c r="J161" i="8"/>
  <c r="F161" i="5"/>
  <c r="AE164" i="3" l="1"/>
  <c r="X165" i="3"/>
  <c r="F162" i="5"/>
  <c r="J162" i="8"/>
  <c r="W169" i="3"/>
  <c r="Y168" i="3"/>
  <c r="A166" i="8"/>
  <c r="A166" i="5"/>
  <c r="A167" i="8" l="1"/>
  <c r="A167" i="5"/>
  <c r="AE165" i="3"/>
  <c r="X166" i="3"/>
  <c r="Y169" i="3"/>
  <c r="W170" i="3"/>
  <c r="J163" i="8"/>
  <c r="F163" i="5"/>
  <c r="AE166" i="3" l="1"/>
  <c r="X167" i="3"/>
  <c r="F164" i="5"/>
  <c r="J164" i="8"/>
  <c r="Y170" i="3"/>
  <c r="W171" i="3"/>
  <c r="A168" i="8"/>
  <c r="A168" i="5"/>
  <c r="Y171" i="3" l="1"/>
  <c r="W172" i="3"/>
  <c r="AE167" i="3"/>
  <c r="X168" i="3"/>
  <c r="A169" i="5"/>
  <c r="A169" i="8"/>
  <c r="J165" i="8"/>
  <c r="F165" i="5"/>
  <c r="AE168" i="3" l="1"/>
  <c r="X169" i="3"/>
  <c r="F166" i="5"/>
  <c r="J166" i="8"/>
  <c r="Y172" i="3"/>
  <c r="W173" i="3"/>
  <c r="A170" i="5"/>
  <c r="A170" i="8"/>
  <c r="W174" i="3" l="1"/>
  <c r="Y173" i="3"/>
  <c r="X170" i="3"/>
  <c r="AE169" i="3"/>
  <c r="A171" i="5"/>
  <c r="A171" i="8"/>
  <c r="F167" i="5"/>
  <c r="J167" i="8"/>
  <c r="F168" i="5" l="1"/>
  <c r="J168" i="8"/>
  <c r="AE170" i="3"/>
  <c r="X171" i="3"/>
  <c r="A172" i="5"/>
  <c r="A172" i="8"/>
  <c r="W175" i="3"/>
  <c r="Y174" i="3"/>
  <c r="A173" i="5" l="1"/>
  <c r="A173" i="8"/>
  <c r="F169" i="5"/>
  <c r="J169" i="8"/>
  <c r="W176" i="3"/>
  <c r="Y175" i="3"/>
  <c r="X172" i="3"/>
  <c r="AE171" i="3"/>
  <c r="F170" i="5" l="1"/>
  <c r="J170" i="8"/>
  <c r="AE172" i="3"/>
  <c r="X173" i="3"/>
  <c r="A174" i="5"/>
  <c r="A174" i="8"/>
  <c r="W177" i="3"/>
  <c r="Y176" i="3"/>
  <c r="A175" i="5" l="1"/>
  <c r="A175" i="8"/>
  <c r="X174" i="3"/>
  <c r="AE173" i="3"/>
  <c r="W178" i="3"/>
  <c r="Y177" i="3"/>
  <c r="F171" i="5"/>
  <c r="J171" i="8"/>
  <c r="F172" i="5" l="1"/>
  <c r="J172" i="8"/>
  <c r="X175" i="3"/>
  <c r="AE174" i="3"/>
  <c r="A176" i="5"/>
  <c r="A176" i="8"/>
  <c r="Y178" i="3"/>
  <c r="W179" i="3"/>
  <c r="Y179" i="3" l="1"/>
  <c r="W180" i="3"/>
  <c r="J173" i="8"/>
  <c r="F173" i="5"/>
  <c r="A177" i="8"/>
  <c r="A177" i="5"/>
  <c r="X176" i="3"/>
  <c r="AE175" i="3"/>
  <c r="J174" i="8" l="1"/>
  <c r="F174" i="5"/>
  <c r="AE176" i="3"/>
  <c r="X177" i="3"/>
  <c r="Y180" i="3"/>
  <c r="W181" i="3"/>
  <c r="A178" i="8"/>
  <c r="A178" i="5"/>
  <c r="X178" i="3" l="1"/>
  <c r="AE177" i="3"/>
  <c r="F175" i="5"/>
  <c r="J175" i="8"/>
  <c r="Y181" i="3"/>
  <c r="W182" i="3"/>
  <c r="A179" i="5"/>
  <c r="A179" i="8"/>
  <c r="W183" i="3" l="1"/>
  <c r="Y182" i="3"/>
  <c r="F176" i="5"/>
  <c r="J176" i="8"/>
  <c r="A180" i="5"/>
  <c r="A180" i="8"/>
  <c r="X179" i="3"/>
  <c r="AE178" i="3"/>
  <c r="X180" i="3" l="1"/>
  <c r="AE179" i="3"/>
  <c r="A181" i="8"/>
  <c r="A181" i="5"/>
  <c r="F177" i="5"/>
  <c r="J177" i="8"/>
  <c r="Y183" i="3"/>
  <c r="W184" i="3"/>
  <c r="Y184" i="3" l="1"/>
  <c r="W185" i="3"/>
  <c r="A182" i="5"/>
  <c r="A182" i="8"/>
  <c r="J178" i="8"/>
  <c r="F178" i="5"/>
  <c r="X181" i="3"/>
  <c r="AE180" i="3"/>
  <c r="J179" i="8" l="1"/>
  <c r="F179" i="5"/>
  <c r="AE181" i="3"/>
  <c r="X182" i="3"/>
  <c r="Y185" i="3"/>
  <c r="W186" i="3"/>
  <c r="A183" i="5"/>
  <c r="A183" i="8"/>
  <c r="AE182" i="3" l="1"/>
  <c r="X183" i="3"/>
  <c r="J180" i="8"/>
  <c r="F180" i="5"/>
  <c r="Y186" i="3"/>
  <c r="W187" i="3"/>
  <c r="A184" i="5"/>
  <c r="A184" i="8"/>
  <c r="A185" i="8" l="1"/>
  <c r="A185" i="5"/>
  <c r="W188" i="3"/>
  <c r="Y187" i="3"/>
  <c r="X184" i="3"/>
  <c r="AE183" i="3"/>
  <c r="J181" i="8"/>
  <c r="F181" i="5"/>
  <c r="A186" i="8" l="1"/>
  <c r="A186" i="5"/>
  <c r="W189" i="3"/>
  <c r="Y188" i="3"/>
  <c r="F182" i="5"/>
  <c r="J182" i="8"/>
  <c r="X185" i="3"/>
  <c r="AE184" i="3"/>
  <c r="A187" i="8" l="1"/>
  <c r="A187" i="5"/>
  <c r="J183" i="8"/>
  <c r="F183" i="5"/>
  <c r="X186" i="3"/>
  <c r="AE185" i="3"/>
  <c r="Y189" i="3"/>
  <c r="W190" i="3"/>
  <c r="W191" i="3" l="1"/>
  <c r="Y190" i="3"/>
  <c r="A188" i="5"/>
  <c r="A188" i="8"/>
  <c r="F184" i="5"/>
  <c r="J184" i="8"/>
  <c r="X187" i="3"/>
  <c r="AE186" i="3"/>
  <c r="A189" i="5" l="1"/>
  <c r="A189" i="8"/>
  <c r="F185" i="5"/>
  <c r="J185" i="8"/>
  <c r="X188" i="3"/>
  <c r="AE187" i="3"/>
  <c r="W192" i="3"/>
  <c r="Y191" i="3"/>
  <c r="A190" i="5" l="1"/>
  <c r="A190" i="8"/>
  <c r="W193" i="3"/>
  <c r="Y192" i="3"/>
  <c r="F186" i="5"/>
  <c r="J186" i="8"/>
  <c r="AE188" i="3"/>
  <c r="X189" i="3"/>
  <c r="A191" i="5" l="1"/>
  <c r="A191" i="8"/>
  <c r="X190" i="3"/>
  <c r="AE189" i="3"/>
  <c r="F187" i="5"/>
  <c r="J187" i="8"/>
  <c r="Y193" i="3"/>
  <c r="W194" i="3"/>
  <c r="F188" i="5" l="1"/>
  <c r="J188" i="8"/>
  <c r="A192" i="5"/>
  <c r="A192" i="8"/>
  <c r="W195" i="3"/>
  <c r="Y194" i="3"/>
  <c r="X191" i="3"/>
  <c r="AE190" i="3"/>
  <c r="F189" i="5" l="1"/>
  <c r="J189" i="8"/>
  <c r="X192" i="3"/>
  <c r="AE191" i="3"/>
  <c r="A193" i="5"/>
  <c r="A193" i="8"/>
  <c r="W196" i="3"/>
  <c r="Y195" i="3"/>
  <c r="F190" i="5" l="1"/>
  <c r="J190" i="8"/>
  <c r="X193" i="3"/>
  <c r="AE192" i="3"/>
  <c r="Y196" i="3"/>
  <c r="W197" i="3"/>
  <c r="A194" i="5"/>
  <c r="A194" i="8"/>
  <c r="F191" i="5" l="1"/>
  <c r="J191" i="8"/>
  <c r="X194" i="3"/>
  <c r="AE193" i="3"/>
  <c r="W198" i="3"/>
  <c r="Y197" i="3"/>
  <c r="A195" i="5"/>
  <c r="A195" i="8"/>
  <c r="F192" i="5" l="1"/>
  <c r="J192" i="8"/>
  <c r="AE194" i="3"/>
  <c r="X195" i="3"/>
  <c r="A196" i="5"/>
  <c r="A196" i="8"/>
  <c r="W199" i="3"/>
  <c r="Y198" i="3"/>
  <c r="A197" i="5" l="1"/>
  <c r="A197" i="8"/>
  <c r="AE195" i="3"/>
  <c r="X196" i="3"/>
  <c r="W200" i="3"/>
  <c r="Y199" i="3"/>
  <c r="F193" i="5"/>
  <c r="J193" i="8"/>
  <c r="X197" i="3" l="1"/>
  <c r="AE196" i="3"/>
  <c r="F194" i="5"/>
  <c r="J194" i="8"/>
  <c r="A198" i="5"/>
  <c r="A198" i="8"/>
  <c r="Y200" i="3"/>
  <c r="A199" i="5" s="1"/>
  <c r="W201" i="3"/>
  <c r="Y201" i="3" l="1"/>
  <c r="A200" i="5" s="1"/>
  <c r="W202" i="3"/>
  <c r="F195" i="5"/>
  <c r="J195" i="8"/>
  <c r="AE197" i="3"/>
  <c r="X198" i="3"/>
  <c r="X199" i="3" l="1"/>
  <c r="AE198" i="3"/>
  <c r="W203" i="3"/>
  <c r="Y202" i="3"/>
  <c r="J196" i="8"/>
  <c r="F196" i="5"/>
  <c r="Y203" i="3" l="1"/>
  <c r="W204" i="3"/>
  <c r="J197" i="8"/>
  <c r="F197" i="5"/>
  <c r="AE199" i="3"/>
  <c r="X200" i="3"/>
  <c r="F198" i="5" l="1"/>
  <c r="J198" i="8"/>
  <c r="X201" i="3"/>
  <c r="AE200" i="3"/>
  <c r="F199" i="5" s="1"/>
  <c r="Y204" i="3"/>
  <c r="W205" i="3"/>
  <c r="X202" i="3" l="1"/>
  <c r="AE201" i="3"/>
  <c r="F200" i="5" s="1"/>
  <c r="Y205" i="3"/>
  <c r="W206" i="3"/>
  <c r="W207" i="3" l="1"/>
  <c r="Y206" i="3"/>
  <c r="AE202" i="3"/>
  <c r="X203" i="3"/>
  <c r="X204" i="3" l="1"/>
  <c r="AE203" i="3"/>
  <c r="W208" i="3"/>
  <c r="Y207" i="3"/>
  <c r="Y208" i="3" l="1"/>
  <c r="W209" i="3"/>
  <c r="AE204" i="3"/>
  <c r="X205" i="3"/>
  <c r="AE205" i="3" l="1"/>
  <c r="X206" i="3"/>
  <c r="W210" i="3"/>
  <c r="Y209" i="3"/>
  <c r="X207" i="3" l="1"/>
  <c r="AE206" i="3"/>
  <c r="Y210" i="3"/>
  <c r="W211" i="3"/>
  <c r="W212" i="3" l="1"/>
  <c r="Y211" i="3"/>
  <c r="X208" i="3"/>
  <c r="AE207" i="3"/>
  <c r="AE208" i="3" l="1"/>
  <c r="X209" i="3"/>
  <c r="W213" i="3"/>
  <c r="Y212" i="3"/>
  <c r="Y213" i="3" l="1"/>
  <c r="W214" i="3"/>
  <c r="AE209" i="3"/>
  <c r="X210" i="3"/>
  <c r="X211" i="3" l="1"/>
  <c r="AE210" i="3"/>
  <c r="Y214" i="3"/>
  <c r="W215" i="3"/>
  <c r="Y215" i="3" l="1"/>
  <c r="W216" i="3"/>
  <c r="X212" i="3"/>
  <c r="AE211" i="3"/>
  <c r="X213" i="3" l="1"/>
  <c r="AE212" i="3"/>
  <c r="Y216" i="3"/>
  <c r="W217" i="3"/>
  <c r="W218" i="3" l="1"/>
  <c r="Y217" i="3"/>
  <c r="X214" i="3"/>
  <c r="AE213" i="3"/>
  <c r="AE214" i="3" l="1"/>
  <c r="X215" i="3"/>
  <c r="W219" i="3"/>
  <c r="Y218" i="3"/>
  <c r="AE215" i="3" l="1"/>
  <c r="X216" i="3"/>
  <c r="Y219" i="3"/>
  <c r="W220" i="3"/>
  <c r="W221" i="3" l="1"/>
  <c r="Y220" i="3"/>
  <c r="AE216" i="3"/>
  <c r="X217" i="3"/>
  <c r="AE217" i="3" l="1"/>
  <c r="X218" i="3"/>
  <c r="Y221" i="3"/>
  <c r="W222" i="3"/>
  <c r="Y222" i="3" l="1"/>
  <c r="W223" i="3"/>
  <c r="X219" i="3"/>
  <c r="AE218" i="3"/>
  <c r="X220" i="3" l="1"/>
  <c r="AE219" i="3"/>
  <c r="W224" i="3"/>
  <c r="Y223" i="3"/>
  <c r="W225" i="3" l="1"/>
  <c r="Y224" i="3"/>
  <c r="AE220" i="3"/>
  <c r="X221" i="3"/>
  <c r="AE221" i="3" l="1"/>
  <c r="X222" i="3"/>
  <c r="W226" i="3"/>
  <c r="Y225" i="3"/>
  <c r="W227" i="3" l="1"/>
  <c r="Y226" i="3"/>
  <c r="X223" i="3"/>
  <c r="AE222" i="3"/>
  <c r="X224" i="3" l="1"/>
  <c r="AE223" i="3"/>
  <c r="W228" i="3"/>
  <c r="Y227" i="3"/>
  <c r="W229" i="3" l="1"/>
  <c r="Y228" i="3"/>
  <c r="AE224" i="3"/>
  <c r="X225" i="3"/>
  <c r="X226" i="3" l="1"/>
  <c r="AE225" i="3"/>
  <c r="Y229" i="3"/>
  <c r="W230" i="3"/>
  <c r="W231" i="3" l="1"/>
  <c r="Y230" i="3"/>
  <c r="X227" i="3"/>
  <c r="AE226" i="3"/>
  <c r="X228" i="3" l="1"/>
  <c r="AE227" i="3"/>
  <c r="Y231" i="3"/>
  <c r="W232" i="3"/>
  <c r="Y232" i="3" l="1"/>
  <c r="W233" i="3"/>
  <c r="AE228" i="3"/>
  <c r="X229" i="3"/>
  <c r="AE229" i="3" l="1"/>
  <c r="X230" i="3"/>
  <c r="Y233" i="3"/>
  <c r="W234" i="3"/>
  <c r="Y234" i="3" l="1"/>
  <c r="W235" i="3"/>
  <c r="AE230" i="3"/>
  <c r="X231" i="3"/>
  <c r="AE231" i="3" l="1"/>
  <c r="X232" i="3"/>
  <c r="W236" i="3"/>
  <c r="Y235" i="3"/>
  <c r="W237" i="3" l="1"/>
  <c r="Y236" i="3"/>
  <c r="AE232" i="3"/>
  <c r="X233" i="3"/>
  <c r="X234" i="3" l="1"/>
  <c r="AE233" i="3"/>
  <c r="W238" i="3"/>
  <c r="Y237" i="3"/>
  <c r="Y238" i="3" l="1"/>
  <c r="W239" i="3"/>
  <c r="AE234" i="3"/>
  <c r="X235" i="3"/>
  <c r="AE235" i="3" l="1"/>
  <c r="X236" i="3"/>
  <c r="W240" i="3"/>
  <c r="Y239" i="3"/>
  <c r="Y240" i="3" l="1"/>
  <c r="W241" i="3"/>
  <c r="X237" i="3"/>
  <c r="AE236" i="3"/>
  <c r="Y241" i="3" l="1"/>
  <c r="W242" i="3"/>
  <c r="AE237" i="3"/>
  <c r="X238" i="3"/>
  <c r="AE238" i="3" l="1"/>
  <c r="X239" i="3"/>
  <c r="W243" i="3"/>
  <c r="Y242" i="3"/>
  <c r="W244" i="3" l="1"/>
  <c r="Y243" i="3"/>
  <c r="AE239" i="3"/>
  <c r="X240" i="3"/>
  <c r="X241" i="3" l="1"/>
  <c r="AE240" i="3"/>
  <c r="W245" i="3"/>
  <c r="Y244" i="3"/>
  <c r="W246" i="3" l="1"/>
  <c r="Y245" i="3"/>
  <c r="X242" i="3"/>
  <c r="AE241" i="3"/>
  <c r="X243" i="3" l="1"/>
  <c r="AE242" i="3"/>
  <c r="W247" i="3"/>
  <c r="Y246" i="3"/>
  <c r="W248" i="3" l="1"/>
  <c r="Y247" i="3"/>
  <c r="X244" i="3"/>
  <c r="AE243" i="3"/>
  <c r="AE244" i="3" l="1"/>
  <c r="X245" i="3"/>
  <c r="Y248" i="3"/>
  <c r="W249" i="3"/>
  <c r="Y249" i="3" l="1"/>
  <c r="W250" i="3"/>
  <c r="X246" i="3"/>
  <c r="AE245" i="3"/>
  <c r="W251" i="3" l="1"/>
  <c r="Y250" i="3"/>
  <c r="X247" i="3"/>
  <c r="AE246" i="3"/>
  <c r="AE247" i="3" l="1"/>
  <c r="X248" i="3"/>
  <c r="W252" i="3"/>
  <c r="Y251" i="3"/>
  <c r="Y252" i="3" l="1"/>
  <c r="W253" i="3"/>
  <c r="X249" i="3"/>
  <c r="AE248" i="3"/>
  <c r="AE249" i="3" l="1"/>
  <c r="X250" i="3"/>
  <c r="W254" i="3"/>
  <c r="Y253" i="3"/>
  <c r="Y254" i="3" l="1"/>
  <c r="W255" i="3"/>
  <c r="X251" i="3"/>
  <c r="AE250" i="3"/>
  <c r="X252" i="3" l="1"/>
  <c r="AE251" i="3"/>
  <c r="W256" i="3"/>
  <c r="Y255" i="3"/>
  <c r="W257" i="3" l="1"/>
  <c r="Y256" i="3"/>
  <c r="X253" i="3"/>
  <c r="AE252" i="3"/>
  <c r="X254" i="3" l="1"/>
  <c r="AE253" i="3"/>
  <c r="Y257" i="3"/>
  <c r="W258" i="3"/>
  <c r="Y258" i="3" l="1"/>
  <c r="W259" i="3"/>
  <c r="X255" i="3"/>
  <c r="AE254" i="3"/>
  <c r="AE255" i="3" l="1"/>
  <c r="X256" i="3"/>
  <c r="W260" i="3"/>
  <c r="Y259" i="3"/>
  <c r="W261" i="3" l="1"/>
  <c r="Y260" i="3"/>
  <c r="X257" i="3"/>
  <c r="AE256" i="3"/>
  <c r="AE257" i="3" l="1"/>
  <c r="X258" i="3"/>
  <c r="Y261" i="3"/>
  <c r="W262" i="3"/>
  <c r="Y262" i="3" l="1"/>
  <c r="W263" i="3"/>
  <c r="AE258" i="3"/>
  <c r="X259" i="3"/>
  <c r="X260" i="3" l="1"/>
  <c r="AE259" i="3"/>
  <c r="Y263" i="3"/>
  <c r="W264" i="3"/>
  <c r="W265" i="3" l="1"/>
  <c r="Y264" i="3"/>
  <c r="AE260" i="3"/>
  <c r="X261" i="3"/>
  <c r="AE261" i="3" l="1"/>
  <c r="X262" i="3"/>
  <c r="Y265" i="3"/>
  <c r="W266" i="3"/>
  <c r="Y266" i="3" l="1"/>
  <c r="W267" i="3"/>
  <c r="X263" i="3"/>
  <c r="AE262" i="3"/>
  <c r="AE263" i="3" l="1"/>
  <c r="X264" i="3"/>
  <c r="Y267" i="3"/>
  <c r="W268" i="3"/>
  <c r="Y268" i="3" l="1"/>
  <c r="W269" i="3"/>
  <c r="AE264" i="3"/>
  <c r="X265" i="3"/>
  <c r="AE265" i="3" l="1"/>
  <c r="X266" i="3"/>
  <c r="Y269" i="3"/>
  <c r="W270" i="3"/>
  <c r="Y270" i="3" l="1"/>
  <c r="W271" i="3"/>
  <c r="AE266" i="3"/>
  <c r="X267" i="3"/>
  <c r="X268" i="3" l="1"/>
  <c r="AE267" i="3"/>
  <c r="W272" i="3"/>
  <c r="Y271" i="3"/>
  <c r="Y272" i="3" l="1"/>
  <c r="W273" i="3"/>
  <c r="X269" i="3"/>
  <c r="AE268" i="3"/>
  <c r="X270" i="3" l="1"/>
  <c r="AE269" i="3"/>
  <c r="Y273" i="3"/>
  <c r="W274" i="3"/>
  <c r="W275" i="3" l="1"/>
  <c r="Y275" i="3" s="1"/>
  <c r="Y274" i="3"/>
  <c r="AE270" i="3"/>
  <c r="X271" i="3"/>
  <c r="X272" i="3" l="1"/>
  <c r="AE271" i="3"/>
  <c r="X273" i="3" l="1"/>
  <c r="AE272" i="3"/>
  <c r="AE273" i="3" l="1"/>
  <c r="X274" i="3"/>
  <c r="X275" i="3" l="1"/>
  <c r="AE275" i="3" s="1"/>
  <c r="AE274" i="3"/>
</calcChain>
</file>

<file path=xl/sharedStrings.xml><?xml version="1.0" encoding="utf-8"?>
<sst xmlns="http://schemas.openxmlformats.org/spreadsheetml/2006/main" count="760" uniqueCount="303">
  <si>
    <t>vereinsbuchhaltung.ch: Erste Schritte</t>
  </si>
  <si>
    <t>vereinsbuchhaltung.ch: Hilfelinks</t>
  </si>
  <si>
    <t xml:space="preserve">Folgende Links verweisen auf die Website. Sie dienen dazu, rasch Hilfe für gezielte Themen zu holen. </t>
  </si>
  <si>
    <t xml:space="preserve">Untenstehend erhalten Sie Hinweise, wie Sie für einen Test der Software pragmatisch vorgehen könnten. 
Hinweis: Diese Seite ist über die normale Druckfunktion von Excel druckbar. </t>
  </si>
  <si>
    <t>Hinweis: Die Erklärungen erheben keinen Anspruch auf ein ausführliches Benutzerhandbuch. Dieses erhalten Sie mit der Bestellung.</t>
  </si>
  <si>
    <t>Erste Schritte für Ihren Test:</t>
  </si>
  <si>
    <t>Kontenplan</t>
  </si>
  <si>
    <t>Kontenplan mithilfe des Kontenplangenerators erstellen (s. ganz unten auf folgender Seite)</t>
  </si>
  <si>
    <t>0. Machen Sie einen Ausdruck von diesem File</t>
  </si>
  <si>
    <t>https://www.vereinsbuchhaltung.ch/softwaredownloads</t>
  </si>
  <si>
    <t xml:space="preserve">1. Geben Sie im Register Journal (s. Leiste unten, viertes Register von links) ganz oben im gelben Feld </t>
  </si>
  <si>
    <t>Erstellen des Kontenplans (ohne Kontenplangenerator)</t>
  </si>
  <si>
    <t xml:space="preserve">    den Namen des Vereins/ der Firma ein.</t>
  </si>
  <si>
    <t>https://www.vereinsbuchhaltung.ch/kontenplan-erstellen</t>
  </si>
  <si>
    <t>2. Erfassen Sie zunächst im Register Kontenplan (s. Leiste unten, zweites Register von Links) einige Konten</t>
  </si>
  <si>
    <t>Anpassen des Kontenplans im Allgemeinen (ohne Kontenplangenerator)</t>
  </si>
  <si>
    <t xml:space="preserve">    in den gelben Feldern. Die eingegebenen Beispielkonten können Sie verändern.</t>
  </si>
  <si>
    <t>https://www.vereinsbuchhaltung.ch/kontenplan-anpassen</t>
  </si>
  <si>
    <t xml:space="preserve">    Alternativ können Sie Ihren Kontenplan auch mittels des kostenlosen Kontenplangenerators erstellen. </t>
  </si>
  <si>
    <t>Konto im Kontenplan einfügen (ohne Kontenplangenerator)</t>
  </si>
  <si>
    <r>
      <rPr>
        <sz val="10"/>
        <rFont val="Arial"/>
        <family val="2"/>
      </rPr>
      <t xml:space="preserve">    Diesen finden Sie unter: </t>
    </r>
    <r>
      <rPr>
        <u/>
        <sz val="10"/>
        <color rgb="FF0000FF"/>
        <rFont val="Arial"/>
        <family val="2"/>
      </rPr>
      <t>https://www.vereinsbuchhaltung.ch/kontenplan-erstellen</t>
    </r>
  </si>
  <si>
    <t>https://www.vereinsbuchhaltung.ch/konto-im-kontenplan-einfuegen</t>
  </si>
  <si>
    <t xml:space="preserve">3. Im Register Journal können Sie in den gelben Feldern Buchungssätze erfassen. Nutzen Sie dazu die im </t>
  </si>
  <si>
    <t>Vorhandenes Konto im Kontenplan ändern</t>
  </si>
  <si>
    <t xml:space="preserve">    Kontenplan vorhandenen Kontonummern.</t>
  </si>
  <si>
    <t>https://www.vereinsbuchhaltung.ch/vorhandenes-konto-aendern</t>
  </si>
  <si>
    <t xml:space="preserve">4. Schauen Sie sich das Resultat im Register Bilanz und Erfolgsrechnung an. Drucken Sie bei Bedarf </t>
  </si>
  <si>
    <t>Vorhandenes Konto im (Muster-)kontenplan löschen</t>
  </si>
  <si>
    <t xml:space="preserve">    Bilanz und Erfolgsrechnung mit der normalen Druckfunktion von Excel aus.</t>
  </si>
  <si>
    <t>https://www.vereinsbuchhaltung.ch/konto-im-kontenplan-loeschen</t>
  </si>
  <si>
    <t xml:space="preserve">5. Geben Sie im Register Kontoauszug eine Kontonummer ein, auf welche Sie gebucht haben. Das </t>
  </si>
  <si>
    <t>Die Buchhaltung führen</t>
  </si>
  <si>
    <t xml:space="preserve">    Programm liefert Ihnen alle auf diesem Konto erfassten Buchungen mit Angaben zum Saldo. Wenn Sie</t>
  </si>
  <si>
    <t>Eröffnung eines neuen Geschäftsjahres</t>
  </si>
  <si>
    <t xml:space="preserve">    möchten, können Sie den Kontoauszug ausdrucken und ihn bezüglich des Datums </t>
  </si>
  <si>
    <t>https://www.vereinsbuchhaltung.ch/buchhaltung-eroeffnen</t>
  </si>
  <si>
    <t xml:space="preserve">    (Eingabe in den gelben Feldern) einschränken.</t>
  </si>
  <si>
    <t>Wiedereröffnung eines neuen Geschäftsjahres</t>
  </si>
  <si>
    <t>6. Die blau eingefärbten Register dienen der Projekt (Mannschafts- oder Eventabrechnung). Wenn</t>
  </si>
  <si>
    <t>https://www.vereinsbuchhaltung.ch/buchhaltung-wieder-eroeffnen</t>
  </si>
  <si>
    <t xml:space="preserve">    Sie von dieser Option gebrauch machen möchten, geben Sie ein Projekt mit einer Nummer ein und </t>
  </si>
  <si>
    <t>Faustregeln zur täglichen Verbuchung</t>
  </si>
  <si>
    <t xml:space="preserve">    geben im Journal in der blauen Spalte die Projektnummer bei den betreffenden Buchungs- </t>
  </si>
  <si>
    <t>https://www.vereinsbuchhaltung.ch/wichtiges-zu-buchungssaetzen</t>
  </si>
  <si>
    <t xml:space="preserve">    sätzen ein. Schauen Sie sich das Resultat im Register Projektabrechnung an.</t>
  </si>
  <si>
    <t>Jahresabschluss und Wiedereröffnung</t>
  </si>
  <si>
    <t>7. Bei Fragen helfen Ihnen die Hinweise in den verschiedenen Registern und  die Hilfelinks nebenan weiter.</t>
  </si>
  <si>
    <t>Abschluss und Eröffnung eines weiteren Geschäftsjahres: Eine Übersicht</t>
  </si>
  <si>
    <t xml:space="preserve">8. Falls Sie Interesse an einer Bestellung einer lizenzierten Version mit bis zu 3000 Buchungen haben: </t>
  </si>
  <si>
    <t>https://www.vereinsbuchhaltung.ch/buchhaltungsabschluss-uebersicht</t>
  </si>
  <si>
    <r>
      <rPr>
        <sz val="10"/>
        <rFont val="Arial"/>
        <family val="2"/>
      </rPr>
      <t xml:space="preserve">    Die aktuellen Preise finden Sie unter: </t>
    </r>
    <r>
      <rPr>
        <u/>
        <sz val="10"/>
        <color rgb="FF0000FF"/>
        <rFont val="Arial"/>
        <family val="2"/>
      </rPr>
      <t>https://www.vereinsbuchhaltung.ch/preise-versand</t>
    </r>
  </si>
  <si>
    <t>Revision einer Buchhaltung eines Vereins</t>
  </si>
  <si>
    <t>https://www.vereinsbuchhaltung.ch/revision-von-vereinen</t>
  </si>
  <si>
    <t>Projekte/ Mannschaften oder Events abrechnen (nur mit Zusatzmodul 'Projektabrechnung')</t>
  </si>
  <si>
    <t>Projektabrechnung/ Mannschaftsabrechnung im Verein</t>
  </si>
  <si>
    <t>https://www.vereinsbuchhaltung.ch/projekt-mannschaftsabrechnung</t>
  </si>
  <si>
    <t>Weiteres Know-how</t>
  </si>
  <si>
    <t>Allgemeines Buchhaltungs-Know-how</t>
  </si>
  <si>
    <t>https://www.vereinsbuchhaltung.ch/offen-posten-methode</t>
  </si>
  <si>
    <t>Erweiterung Buchhaltungssoftware</t>
  </si>
  <si>
    <t>https://www.vereinsbuchhaltung.ch/erweiterung-buchhaltungssoftware</t>
  </si>
  <si>
    <t>http://www.buechhaltig.ch</t>
  </si>
  <si>
    <t>Speichertipps und Speicherung dieser Datei so dass mehrere Personen darauf zugreifen können</t>
  </si>
  <si>
    <t>https://www.vereinsbuchhaltung.ch/cloud-buchhaltung-oder-cloud-speich</t>
  </si>
  <si>
    <r>
      <t xml:space="preserve">Know-how
</t>
    </r>
    <r>
      <rPr>
        <b/>
        <sz val="10"/>
        <color indexed="62"/>
        <rFont val="Arial"/>
        <family val="2"/>
      </rPr>
      <t xml:space="preserve">- Cut und Paste sowie das Löschen und Einfügen von Zeilen führt zu Fehlern in der vereinsbuchhaltung, Copy und Paste ist innerhalb der hellgelben Zellen problemlos.
</t>
    </r>
    <r>
      <rPr>
        <sz val="10"/>
        <color indexed="62"/>
        <rFont val="Arial"/>
        <family val="2"/>
      </rPr>
      <t>- Jedes Konto muss einen</t>
    </r>
    <r>
      <rPr>
        <b/>
        <sz val="10"/>
        <color indexed="62"/>
        <rFont val="Arial"/>
        <family val="2"/>
      </rPr>
      <t xml:space="preserve"> eindeutigen Namen </t>
    </r>
    <r>
      <rPr>
        <sz val="10"/>
        <color indexed="62"/>
        <rFont val="Arial"/>
        <family val="2"/>
      </rPr>
      <t>tragen. Zwei Konten mit demselben Namen sind im Kontoauszug problematisch.</t>
    </r>
    <r>
      <rPr>
        <b/>
        <sz val="10"/>
        <color indexed="62"/>
        <rFont val="Arial"/>
        <family val="2"/>
      </rPr>
      <t xml:space="preserve">
- Zunächst werden alle Aktivkonten, dann alle Passivkonten eingefügt. Eine andere Reihenfolge der Bilanzkonten ist nicht sinnvoll und führt zu Fehlern. Bei den Aufwands- und Ertragskonten ist die Reihenfolge egal, </t>
    </r>
    <r>
      <rPr>
        <sz val="10"/>
        <color indexed="62"/>
        <rFont val="Arial"/>
        <family val="2"/>
      </rPr>
      <t>so dass beispielsweise zunächst die Aufwands- und Ertragskonten der ersten Stufe eingetragen werden können. Der Bruttogewinn muss jedoch manuell berechnet werden.</t>
    </r>
    <r>
      <rPr>
        <b/>
        <sz val="10"/>
        <rFont val="Arial"/>
        <family val="2"/>
      </rPr>
      <t xml:space="preserve">
</t>
    </r>
    <r>
      <rPr>
        <sz val="10"/>
        <rFont val="Arial"/>
        <family val="2"/>
      </rPr>
      <t>- Wenn Sie Titel für Kontengruppen (z.B. Flüssige Mittel) direkt oberhalb der entsprechenden Kontengruppen setzen wollen, nutzen Sie dazu die Spalte D und lassen den Rest der Zeile leer. Die Titel werden in der Bilanz und in der Erfolgsrechnung mit Subtotal für die jeweilige Gruppe ausgegeben.
- Wollen Sie ein Konto in den Kontenplan eingeben, nutzen Sie dazu die Spalten C für die Kontenkategorie, E für die vierstellige Kontonummer und F für die Kontobezeichnung. Gültige Kontokategorien sind 'Aktivkonto', 'Passivkonto', 'Aufwandskonto' oder 'Ertragskonto'. Minus-Aktivkonten sind als 'Aktivkonto', Ertragsminderungen sind als 'Ertragskonto' einzugeben.
- Dieser Kontenplan ist druckbar. Wenn Sie mehr als 50 Konten haben, können Sie den Druckbereich entsprechend anpassen.
- Wird in der Spalte 'I' ein Fehler angezeigt, bezieht sich dieser immer auf die Zeile in der er erscheint.
- Zwischentitel können in der Spalte "Titel" eingefügt werden, während die anderen Zellen derselben Zeile leer bleiben.
- Die oberste Eingabezeile des Kontenplans (Zeile 9) muss genützt werden. Im Kontenplan dürfen nur ganz am Ende leere Zeilen bleiben.</t>
    </r>
  </si>
  <si>
    <t>Aktivtitel</t>
  </si>
  <si>
    <t>Passivtitel</t>
  </si>
  <si>
    <t>Aufwandstitel</t>
  </si>
  <si>
    <t>Ertragstitel</t>
  </si>
  <si>
    <t>Check</t>
  </si>
  <si>
    <t>Aufwandstitel Sverweis</t>
  </si>
  <si>
    <t>Ertragstitel Sverweis</t>
  </si>
  <si>
    <t>Aufwandtitel</t>
  </si>
  <si>
    <t>Aktivkonto</t>
  </si>
  <si>
    <t>Passivkonto</t>
  </si>
  <si>
    <t>Aufwandskonto</t>
  </si>
  <si>
    <t>Ertragskonto</t>
  </si>
  <si>
    <t>xqz</t>
  </si>
  <si>
    <t>int. Nr. 1</t>
  </si>
  <si>
    <t>int. Nr.</t>
  </si>
  <si>
    <t>Kontokategorie</t>
  </si>
  <si>
    <t>Titel</t>
  </si>
  <si>
    <t>vierstellige Kontonr.</t>
  </si>
  <si>
    <t>Kontobezeichnung</t>
  </si>
  <si>
    <t>Eventuelle Fehlermeldungen werden untenstehend ausgegeben</t>
  </si>
  <si>
    <t>Umlaufvermögen</t>
  </si>
  <si>
    <t>liquide Mittel</t>
  </si>
  <si>
    <t>Kasse</t>
  </si>
  <si>
    <t>Postkonto</t>
  </si>
  <si>
    <t>Bankkonto</t>
  </si>
  <si>
    <t>(Spar-)Konto Erneuerungsfonds</t>
  </si>
  <si>
    <t>Forderungen</t>
  </si>
  <si>
    <t>Debitoren allgemein</t>
  </si>
  <si>
    <t>Debitoren Stockwerkeigentümer</t>
  </si>
  <si>
    <t>Transitorische Aktiven</t>
  </si>
  <si>
    <t>Fremdkapital</t>
  </si>
  <si>
    <t>Kreditoren</t>
  </si>
  <si>
    <t>Transitorische Passiven</t>
  </si>
  <si>
    <t>Darlehen</t>
  </si>
  <si>
    <t>Rückstellungen Erneuerungsfonds</t>
  </si>
  <si>
    <t>Eigenkapital</t>
  </si>
  <si>
    <t>Kumulierte Gewinne/Kapital</t>
  </si>
  <si>
    <t>Reserven</t>
  </si>
  <si>
    <t>Gewinnvortrag / Verlustvortrag</t>
  </si>
  <si>
    <t>Aufwände nach Verbrauch</t>
  </si>
  <si>
    <t xml:space="preserve">Heizung: Strom </t>
  </si>
  <si>
    <t>Aufwand 2 nach Verbrauch</t>
  </si>
  <si>
    <t>Aufwand 3 nach Verbrauch</t>
  </si>
  <si>
    <t>Energie + Wasser nach Wertquoten</t>
  </si>
  <si>
    <t>Strom</t>
  </si>
  <si>
    <t>Wasser</t>
  </si>
  <si>
    <t>ARA</t>
  </si>
  <si>
    <t>weitere NK nach Wertquoten</t>
  </si>
  <si>
    <t>Honorar Verwaltung</t>
  </si>
  <si>
    <t>Hauswartdienst</t>
  </si>
  <si>
    <t>evtl. Hauswartdienst II</t>
  </si>
  <si>
    <t>Hauswart AHV</t>
  </si>
  <si>
    <t>Gebäudeversicherung</t>
  </si>
  <si>
    <t>evtl. Gebäudeversicherung II</t>
  </si>
  <si>
    <t>Wartung Heizung</t>
  </si>
  <si>
    <t>Wartung Lift</t>
  </si>
  <si>
    <t>Wartung Lüftung</t>
  </si>
  <si>
    <t>Wartung Flachdach</t>
  </si>
  <si>
    <t>Wartung div.</t>
  </si>
  <si>
    <t>Reinigungsmittel (Hauswart)</t>
  </si>
  <si>
    <t>Verbrauchsmaterial (Hauswart)</t>
  </si>
  <si>
    <t>Winterdienst</t>
  </si>
  <si>
    <t>Reparaturen</t>
  </si>
  <si>
    <t>div. Anschaffungen</t>
  </si>
  <si>
    <t>Festivitäten</t>
  </si>
  <si>
    <t>Diverses</t>
  </si>
  <si>
    <t>NK: Aufteilung nach Whg</t>
  </si>
  <si>
    <t>Gebühren Cablecom</t>
  </si>
  <si>
    <t>Kehrrichtgebühren</t>
  </si>
  <si>
    <t>Erstellen Heizkostenabrchg</t>
  </si>
  <si>
    <t>Ertrag</t>
  </si>
  <si>
    <t>Akkontozahlungen</t>
  </si>
  <si>
    <t>NK-Akkontozhlg: Partei 1</t>
  </si>
  <si>
    <t>NK-Akkontozhlg: Partei 2</t>
  </si>
  <si>
    <t>NK-Akkontozhlg: Partei 3</t>
  </si>
  <si>
    <t>NK-Akkontozhlg: Partei 4</t>
  </si>
  <si>
    <t>NK-Akkontozhlg: Partei 5</t>
  </si>
  <si>
    <t>NK-Akkontozhlg: Partei 6</t>
  </si>
  <si>
    <t>NK-Akkontozhlg: Partei 7</t>
  </si>
  <si>
    <t>NK-Akkontozhlg: Partei 8</t>
  </si>
  <si>
    <t>NK-Akkontozhlg: Partei 9</t>
  </si>
  <si>
    <t>NK-Akkontozhlg: Partei 10</t>
  </si>
  <si>
    <t>NK-Akkontozhlg: Partei 11</t>
  </si>
  <si>
    <t>NK-Akkontozhlg: Partei 12</t>
  </si>
  <si>
    <t>NK: Rückzahlungen</t>
  </si>
  <si>
    <t>NK-Rückzhgen: Partei 1</t>
  </si>
  <si>
    <t>NK-Rückzhgen: Partei 2</t>
  </si>
  <si>
    <t>NK-Rückzhgen: Partei 3</t>
  </si>
  <si>
    <t>NK-Rückzhgen: Partei 4</t>
  </si>
  <si>
    <t>NK-Rückzhgen: Partei 5</t>
  </si>
  <si>
    <t>NK-Rückzhgen: Partei 6</t>
  </si>
  <si>
    <t>NK-Rückzhgen: Partei 7</t>
  </si>
  <si>
    <t>NK-Rückzhgen: Partei 8</t>
  </si>
  <si>
    <t>NK-Rückzhgen: Partei 9</t>
  </si>
  <si>
    <t>NK-Rückzhgen: Partei 10</t>
  </si>
  <si>
    <t>NK-Rückzhgen: Partei 11</t>
  </si>
  <si>
    <t>NK-Rückzhgen: Partei 12</t>
  </si>
  <si>
    <t>Eröffnung</t>
  </si>
  <si>
    <t>Eröffnungskonto</t>
  </si>
  <si>
    <t>Sollten Sie noch mehr Konten/ Zeilen benötigen, schreiben Sie eine E-mail an vereinsbuchhaltung@bluemail.ch. Sie werden gegen ein kleines Entgelt eine erweiterte Version erhalten.</t>
  </si>
  <si>
    <t xml:space="preserve">Know-how
- Was in diesem Programm als 'Projekt' bezeichnet wird, kann in einem Sportverein eine  Mannschaft sein oder in einem Musikverein ein Konzert/ Auftritt/ Event. Selbstverständlich können auch andere Einheiten als 'Projekt' bezeichnet werden. Profis würden in diesem Zusammenhang möglicherweise von Kostenträgern sprechen.
- Zeile B (oberste Zeile) muss ausgefüllt werden, damit die Projektliste funktioniert.
- Die Projektnummern müssen aufsteigend sein
- Sofern man sich entschliesst, ein Projekt zu definieren, bedeutet dies nicht, dass jeder Buchungssatz im Journal mit einer Projektnummer versehen werden muss.
- Ziel soll es sein, in Zukunft keine eigene Abrechnung mehr für ein Projekt zu erstellen. 
- Jedes Projekt muss einen eindeutigen Namen tragen. Zwei Konten mit demselben Namen sind im Kontoauszug problematisch.
</t>
  </si>
  <si>
    <t>Projeknr.</t>
  </si>
  <si>
    <t>Projektname</t>
  </si>
  <si>
    <t>Bemerkung (fakultativ)</t>
  </si>
  <si>
    <t>Partei 1</t>
  </si>
  <si>
    <t>Partei 2</t>
  </si>
  <si>
    <t>Event 1</t>
  </si>
  <si>
    <t>Event 2</t>
  </si>
  <si>
    <t>Hier STWEG-Namen eingeben</t>
  </si>
  <si>
    <r>
      <t xml:space="preserve">Know-how:
</t>
    </r>
    <r>
      <rPr>
        <sz val="10"/>
        <rFont val="Arial"/>
        <family val="2"/>
      </rPr>
      <t>In dieser Spalte werden für die Buchhaltung relevante Fakten überprüft und gegebenenfalls als Warnmeldung ausgegeben. Es können jedoch nicht alle Fehler automatisch gefunden werden (z.B. ob ein korrektes Datum, der korrekte Betrag des Belegs oder die richtige/n Kontonummer/n eingetragen werden.)</t>
    </r>
  </si>
  <si>
    <t>20xx</t>
  </si>
  <si>
    <t>Beleg Nr.</t>
  </si>
  <si>
    <t>Datum</t>
  </si>
  <si>
    <t>Buchungssatz</t>
  </si>
  <si>
    <t>Projekt</t>
  </si>
  <si>
    <t>Betrag</t>
  </si>
  <si>
    <t>Text</t>
  </si>
  <si>
    <t>eventuelle Warnungen/Fehlermeldungen</t>
  </si>
  <si>
    <t>virtueller Saldo</t>
  </si>
  <si>
    <t>Kontoausz</t>
  </si>
  <si>
    <t>Projektliste</t>
  </si>
  <si>
    <t>Soll</t>
  </si>
  <si>
    <t>Haben</t>
  </si>
  <si>
    <t>(fakultativ)</t>
  </si>
  <si>
    <t>Die Testversion ist voll funktionsfähig und enthält Platz für 75 Buchungen in 260 Konten. Bestellungen für die grössere, lizenzierte Version (bis 3000 Buchungen in 350 Konten) kann mit diesem Link auf vereinsbuchhaltung.ch/bestellformular erworben werden.</t>
  </si>
  <si>
    <t>Referenzen betrachten</t>
  </si>
  <si>
    <t>Testbuchung zum Überschreiben</t>
  </si>
  <si>
    <t xml:space="preserve">Sofern Sie noch weitere Buchungen einfügen möchten, bestellen Sie eine auf Ihren Verein/Ihr Geschäft lizenzierte Version unter www.vereinsbuchhaltung.ch/bestellen </t>
  </si>
  <si>
    <t>Sie werden gegen ein kleines Entgelt eine lizenzierte Version mit der Möglichkeit von mehr Buchungssätzen erhalten.</t>
  </si>
  <si>
    <t>Die bestehenden Buchungssätze und den Kontenplan können Sie mit Copy (Kopieren) und Paste (Einfügen) in die erweiterte Version bringen</t>
  </si>
  <si>
    <r>
      <rPr>
        <b/>
        <sz val="10"/>
        <rFont val="Arial"/>
        <family val="2"/>
      </rPr>
      <t>Wichtig:</t>
    </r>
    <r>
      <rPr>
        <sz val="10"/>
        <rFont val="Arial"/>
        <family val="2"/>
      </rPr>
      <t xml:space="preserve"> Kopieren Sie beim Übertragen in die neue Version nur die gelben Zellen. Den Rest rechnet Excel selber.</t>
    </r>
  </si>
  <si>
    <t>Hinweis: In diesem Tabellenblatt werden die Berechnungen getätigt. Bitte nicht verändern.</t>
  </si>
  <si>
    <t>Check:</t>
  </si>
  <si>
    <t>Anz. Aufwandkonten</t>
  </si>
  <si>
    <t>Anz. Ertragskten</t>
  </si>
  <si>
    <t>Anz. Aktivk.</t>
  </si>
  <si>
    <t>Anz. Passivk.</t>
  </si>
  <si>
    <t>Max. Konten A und E</t>
  </si>
  <si>
    <t>Max. Konten a und p</t>
  </si>
  <si>
    <t>Stand:</t>
  </si>
  <si>
    <t xml:space="preserve"> </t>
  </si>
  <si>
    <t>Anz. Zeilen Aufwand</t>
  </si>
  <si>
    <t>Anz. Ertragszeilen</t>
  </si>
  <si>
    <t>Anz. Zeilen Aktivk.</t>
  </si>
  <si>
    <t>Anz. Zeilen Passiven</t>
  </si>
  <si>
    <t>Abschlusstabelle</t>
  </si>
  <si>
    <t>Ertragsminderung</t>
  </si>
  <si>
    <t>Max. Zeilen A und E</t>
  </si>
  <si>
    <t>Max. Zeilen a und p</t>
  </si>
  <si>
    <t>Konten</t>
  </si>
  <si>
    <t>Probebilanz</t>
  </si>
  <si>
    <t>Saldenbilanz</t>
  </si>
  <si>
    <t>Schlussbilanz I</t>
  </si>
  <si>
    <t>Erfolgsrechnung</t>
  </si>
  <si>
    <t>Schlussbilanz II</t>
  </si>
  <si>
    <t>Aufwand</t>
  </si>
  <si>
    <t>Aktiven</t>
  </si>
  <si>
    <t>Passiven</t>
  </si>
  <si>
    <t>(Sub-)total</t>
  </si>
  <si>
    <t>Addieren Aktiven</t>
  </si>
  <si>
    <t>Addieren Passiven</t>
  </si>
  <si>
    <t>Addieren Aufwände</t>
  </si>
  <si>
    <t>Addieren Erträge</t>
  </si>
  <si>
    <t>Fehlermeldungen</t>
  </si>
  <si>
    <t>Zeilen einfügen</t>
  </si>
  <si>
    <t>Vereinsname</t>
  </si>
  <si>
    <t>Diese Tabelle ist nicht zum Drucken gemacht.</t>
  </si>
  <si>
    <t>Name</t>
  </si>
  <si>
    <t>Bilanz</t>
  </si>
  <si>
    <t>Version 3.0 vom Oktober 2011</t>
  </si>
  <si>
    <t>Schl</t>
  </si>
  <si>
    <t>ER</t>
  </si>
  <si>
    <t>Mann</t>
  </si>
  <si>
    <t>Budget</t>
  </si>
  <si>
    <t>Bitte lösen Sie eine gültige Lizenz bei: vereinsbuchhaltung@bluemail.ch. Ohne gültige Lizenz sind Bilanz und Erfolgsrechnung unbrauchbar.</t>
  </si>
  <si>
    <t>Kto-ausz.irrelevant</t>
  </si>
  <si>
    <t>Für Version 2_04 neu (unvollständig)</t>
  </si>
  <si>
    <t>Von bis in Projektauszug integriert</t>
  </si>
  <si>
    <t>Verschlüsselung angepasst</t>
  </si>
  <si>
    <t>Darstellungsfehler (Gewinn wird nicht angezeigt bei mehr Erfolgskonten)</t>
  </si>
  <si>
    <t>Für diese Version 3_0 neu (unvollständig):</t>
  </si>
  <si>
    <t>In Bilanz Eröffnungsbuchungen automatisiert</t>
  </si>
  <si>
    <t>Bedingte Formatierungen in ER, Budget und Bilanz angepasst</t>
  </si>
  <si>
    <t>Hilfelinks leicht angepasst</t>
  </si>
  <si>
    <t>Budget angepasst</t>
  </si>
  <si>
    <t>Aufwand und Ertragskonten können gemischt werden (KMU-Kontenplan wird möglich)</t>
  </si>
  <si>
    <t>Makro zum Druckbereich angepasst</t>
  </si>
  <si>
    <t>Kopierschutz (Verhinderung Zeilen in Bilanz, ER, Budget einfügen) verbessert)</t>
  </si>
  <si>
    <t>Für Folgeversion</t>
  </si>
  <si>
    <t>Grafiken optimieren</t>
  </si>
  <si>
    <t>In Journal Fehlermeldungen zu Projektnummern generieren (Achtung schwierig)</t>
  </si>
  <si>
    <t>Wenn die Buchhaltung bereits abgeschlossen ist, hier das Datum des Abschlusses eintragen. ==&gt;</t>
  </si>
  <si>
    <t>TT.MM.JJJJ</t>
  </si>
  <si>
    <t xml:space="preserve">Der Ausdruck dieser Bilanz benötigt mehr als eine Seite. Zum Ausdrucken passen Sie bitte den Druckbereich an, indem Sie zunächst von Feld A3 bis zum Feld mit dem Total alle Zellen markieren und klicken  anschliessend im Tab 'Seitenlayout' Druckbereich/Druckbereich festlegen anwählen (Excel 97/2003 unter Datei/Druckbereich/Druckbereich festlegen). </t>
  </si>
  <si>
    <t xml:space="preserve">Nummer Eröffnungskonto: </t>
  </si>
  <si>
    <t>Erfolgsverbuchung über Passivkonto Nr:</t>
  </si>
  <si>
    <t>Aufbereitung Eröffnungsbuchungen</t>
  </si>
  <si>
    <t xml:space="preserve">Anzahl Konten mit Beträgen: </t>
  </si>
  <si>
    <t>Fehlermeldungen und Texte</t>
  </si>
  <si>
    <t>a</t>
  </si>
  <si>
    <t>Bitte Vereins-/Firmennamen im Register Journal eingeben</t>
  </si>
  <si>
    <t>Achtung: Fehler vorhanden. Bitte Journal auf Fehlermeldungen prüfen.</t>
  </si>
  <si>
    <t>Status noch nicht ok. Bitte vor Kopie der Eröffnungsbuchungen in das neue Geschäftsjahr noch die Fehlermeldungen im Journal überprüfen.</t>
  </si>
  <si>
    <t>Eröffnungsbuchungen für Folgegeschäftsjahr
- Auf Feld AC6 können Sie die Belegnr. für alle verändern (Beleg ist ausgedruckte Bilanz dieser Seite). In Feld AD6 können Sie das Datum verändern. Buchungssätze wenn nötig, erst nach Übertrag in neues Geschäftsjahr verändern.
- Folgende Buchungssätze im gelben Bereich können mittels Copy und 'Werte einfügen' (Start, Dreieck unterhalb Schaltfläche 'Einfügen' wählen und dann Schaltfläche mit Zahlen 123 wählen) ins Journal des folgenden Geschäftsjahr übertragen werden. Voraussetzung dafür ist, dass derselbe Kontenplan wie dieser Datei verwendet wird.</t>
  </si>
  <si>
    <t>p</t>
  </si>
  <si>
    <t xml:space="preserve">Der Ausdruck dieser Erfolgsrechnung benötigt mehr als eine Seite. Zum Ausdrucken passen Sie bitte den Druckbereich an, indem Sie zunächst von Feld A3 bis zum Feld mit dem Total alle Zellen markieren und klicken  anschliessend im Tab 'Seitenlayout' Druckbereich/Druckbereich festlegen anwählen (Excel 97/2003 unter Datei/Druckbereich/Druckbereich festlegen). </t>
  </si>
  <si>
    <t>Aufwände</t>
  </si>
  <si>
    <t>Erträge</t>
  </si>
  <si>
    <r>
      <t>Know how:</t>
    </r>
    <r>
      <rPr>
        <sz val="10"/>
        <rFont val="Arial"/>
        <family val="2"/>
      </rPr>
      <t xml:space="preserve">
- Im linken Teil finden sich die Aufwandskonten, rechts die Ertragskonten in tabellarischer Darstellungsform. Die Tabelle kann als Budget verwendet werden, indem der Blattschutz auf eigenes Risiko aufgehoben wird (Tab Überprüfen/Blattschutz aufheben; Excel 97/2003 Extras/Blattschutz). Um nur die Erfolgsrechnung (ER) zu zeigen, können die Budgetzeilen ein- oder ausgeblendet werden. 
</t>
    </r>
    <r>
      <rPr>
        <b/>
        <sz val="10"/>
        <color indexed="18"/>
        <rFont val="Arial"/>
        <family val="2"/>
      </rPr>
      <t>- Manuelle Änderungen machen in dieser Tabelle in der Regel erst beim Abschluss des Geschäftsjahres Sinn.</t>
    </r>
    <r>
      <rPr>
        <sz val="10"/>
        <rFont val="Arial"/>
        <family val="2"/>
      </rPr>
      <t xml:space="preserve">
- Cut and Paste sowie Zeilen einfügen kann auch hier zu Fehlern führen. Copy und Paste sowie Spalten einfügen ist erlaubt und im Normalfall problemlos. Der Blattschutz kann auf eigenes Risiko ohne Passwort aufgehoben werden. 
- Im Bezug aufs Layout können In diesem Tabellenblatt sämtliche Zellen verändert werden. Es gibt jedoch Zellen mit einer bedingten Formatierung. Diese kann unter Format/Bedingte Formatierung eine markierte Zelle oder für eine markierte Spalte gelöscht werden.
- Um die Druckqualität zu erhöhen sind die Spalten'Ist Vorjahr', 'Budget Vorjahr' und 'Budget 20xx' nicht hellgelb. Man kann sie aber trotzdem verändern.
- Verluste und Gewinne müssen für die Spalten 'Ist Vorjahr', 'Budget Vorjahr' und 'Budget 20xx' manuell ausgerechnet werden. Die Totalzeile muss am Ende bei Aufwänden und Erträgen dieselben Beträge enthalten .</t>
    </r>
  </si>
  <si>
    <t>Budget für Jahr X (bitte im gelben Feld nebenan eingeben):</t>
  </si>
  <si>
    <t>Nr.</t>
  </si>
  <si>
    <t>Ist Vorjahr</t>
  </si>
  <si>
    <t>+/- Ist/ Budget</t>
  </si>
  <si>
    <t>Kontonummer:</t>
  </si>
  <si>
    <t>Konto:</t>
  </si>
  <si>
    <t>fakultativ: Auszug von (Datum)</t>
  </si>
  <si>
    <t>fakultativ: Auszug bis (Datum)</t>
  </si>
  <si>
    <t>Druckbereich</t>
  </si>
  <si>
    <t>Saldo</t>
  </si>
  <si>
    <t>Sollbetrag</t>
  </si>
  <si>
    <t>Habenbetrag</t>
  </si>
  <si>
    <t>Ausdruckbuttons</t>
  </si>
  <si>
    <t>Fehler- und Warnmeldungen</t>
  </si>
  <si>
    <t>Bitte Kontenplan (korrekt) erstellen</t>
  </si>
  <si>
    <t>Bitte gültige Kontonummer im hellgelben Feld oben eingeben. Die #NV-Zeichen werden dann verschwinden</t>
  </si>
  <si>
    <t xml:space="preserve">(In der angegebenen Zeitspanne) keine Buchungen vorhanden in </t>
  </si>
  <si>
    <t>Bitte erste Zeile im Kontoauszug korrekt ausfüllen.</t>
  </si>
  <si>
    <t>Dieser Kontoauszug hat auf einer Seite Platz.</t>
  </si>
  <si>
    <t>Der Ausdruck dieses Kontoauszugs benötigt rund</t>
  </si>
  <si>
    <t>Seite(n). Zum Ausdrucken passen Sie bitte den Druckbereich für dieses Konto an, indem Sie zunächst von Feld B3 bis zum Feld mit dem Total alle Zellen markieren und klicken Sie anschliessend unter Seitenlayout Druckbereich/Druckbereich festlegen (Excel 97/2003 unter Datei/Druckbereich/Druckbereich festlegen). Um den Druckbereich wieder auf eine Seite zurückzusetzen markieren Sie alles von Zelle B3 bis zur Zelle L39. Tipp: Wenn Sie alle Konten der Buchhaltung ausdrucken wollen, drucken Sie zunächst alle jene aus, welche auf einer Seite Platz haben.</t>
  </si>
  <si>
    <t>Total</t>
  </si>
  <si>
    <t>Bitte geben Sie die Nummer des ersten Erfolgskontos ein:</t>
  </si>
  <si>
    <t>Projektnummer:</t>
  </si>
  <si>
    <t>Der Ausdruck dieser Projektabrechnung benötigt mehr als eine Seite. Zum Ausdrucken passen Sie bitte den Druckbereich für dieses Konto an, indem Sie zunächst von Feld B3 bis zum Feld mit dem Total alle Zellen markieren und klicken Sie anschliessend unter Datei/Druckbereich/Druckbereich festlegen. Drucken Sie das Kontenblatt aus und markieren Sie nachher von Zeile 3 bis 39 alles und klicken Sie nocheinmal auf Datei/Druckbereich/Druckbereich festlegen.</t>
  </si>
  <si>
    <t>+</t>
  </si>
  <si>
    <t>-</t>
  </si>
  <si>
    <t>Sollkonto</t>
  </si>
  <si>
    <t>Habenkonto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</si>
</sst>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dd/mm/yyyy;@"/>
    <numFmt numFmtId="166" formatCode="_ * #,##0.0000_ ;_ * \-#,##0.0000_ ;_ * &quot;-&quot;??_ ;_ @_ "/>
    <numFmt numFmtId="167" formatCode="_ * #,##0.00000_ ;_ * \-#,##0.00000_ ;_ * &quot;-&quot;??_ ;_ @_ "/>
  </numFmts>
  <fonts count="25">
    <font>
      <sz val="10"/>
      <name val="Arial"/>
    </font>
    <font>
      <sz val="10"/>
      <name val="Arial"/>
      <family val="2"/>
    </font>
    <font>
      <b/>
      <sz val="10"/>
      <name val="Arial"/>
      <family val="2"/>
    </font>
    <font>
      <b/>
      <sz val="12"/>
      <name val="Arial"/>
      <family val="2"/>
    </font>
    <font>
      <sz val="8"/>
      <name val="Arial"/>
      <family val="2"/>
    </font>
    <font>
      <b/>
      <sz val="10"/>
      <color indexed="62"/>
      <name val="Arial"/>
      <family val="2"/>
    </font>
    <font>
      <sz val="14"/>
      <name val="Arial"/>
      <family val="2"/>
    </font>
    <font>
      <b/>
      <sz val="14"/>
      <name val="Arial"/>
      <family val="2"/>
    </font>
    <font>
      <b/>
      <sz val="11"/>
      <name val="Arial"/>
      <family val="2"/>
    </font>
    <font>
      <sz val="11"/>
      <name val="Arial"/>
      <family val="2"/>
    </font>
    <font>
      <sz val="10"/>
      <color indexed="9"/>
      <name val="Arial"/>
      <family val="2"/>
    </font>
    <font>
      <b/>
      <sz val="10"/>
      <color indexed="9"/>
      <name val="Arial"/>
      <family val="2"/>
    </font>
    <font>
      <sz val="8"/>
      <color indexed="9"/>
      <name val="Arial"/>
      <family val="2"/>
    </font>
    <font>
      <sz val="8"/>
      <color indexed="8"/>
      <name val="Arial"/>
      <family val="2"/>
    </font>
    <font>
      <b/>
      <sz val="8"/>
      <name val="Arial"/>
      <family val="2"/>
    </font>
    <font>
      <b/>
      <sz val="10"/>
      <color indexed="18"/>
      <name val="Arial"/>
      <family val="2"/>
    </font>
    <font>
      <u/>
      <sz val="10"/>
      <color indexed="12"/>
      <name val="Arial"/>
      <family val="2"/>
    </font>
    <font>
      <sz val="10"/>
      <color indexed="62"/>
      <name val="Arial"/>
      <family val="2"/>
    </font>
    <font>
      <sz val="10"/>
      <color indexed="22"/>
      <name val="Arial"/>
      <family val="2"/>
    </font>
    <font>
      <sz val="16"/>
      <color indexed="18"/>
      <name val="Verdana"/>
      <family val="2"/>
    </font>
    <font>
      <b/>
      <sz val="20"/>
      <name val="Arial"/>
      <family val="2"/>
    </font>
    <font>
      <u/>
      <sz val="10"/>
      <name val="Arial"/>
      <family val="2"/>
    </font>
    <font>
      <sz val="10"/>
      <color rgb="FFFFFFFF"/>
      <name val="Arial"/>
      <family val="2"/>
    </font>
    <font>
      <b/>
      <sz val="10"/>
      <color rgb="FFFFFFFF"/>
      <name val="Arial"/>
      <family val="2"/>
    </font>
    <font>
      <u/>
      <sz val="10"/>
      <color rgb="FF0000FF"/>
      <name val="Arial"/>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51"/>
        <bgColor indexed="64"/>
      </patternFill>
    </fill>
    <fill>
      <patternFill patternType="solid">
        <fgColor indexed="53"/>
        <bgColor indexed="64"/>
      </patternFill>
    </fill>
    <fill>
      <patternFill patternType="solid">
        <fgColor rgb="FFCCFFFF"/>
        <bgColor indexed="64"/>
      </patternFill>
    </fill>
    <fill>
      <patternFill patternType="solid">
        <fgColor rgb="FFCCFFCC"/>
        <bgColor indexed="64"/>
      </patternFill>
    </fill>
  </fills>
  <borders count="77">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style="medium">
        <color indexed="64"/>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top style="thin">
        <color indexed="22"/>
      </top>
      <bottom style="thin">
        <color indexed="22"/>
      </bottom>
      <diagonal/>
    </border>
    <border>
      <left style="thin">
        <color indexed="64"/>
      </left>
      <right style="thin">
        <color indexed="22"/>
      </right>
      <top style="thin">
        <color indexed="22"/>
      </top>
      <bottom/>
      <diagonal/>
    </border>
    <border>
      <left style="thin">
        <color indexed="64"/>
      </left>
      <right style="thin">
        <color indexed="22"/>
      </right>
      <top style="thin">
        <color indexed="22"/>
      </top>
      <bottom style="thin">
        <color indexed="22"/>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22"/>
      </bottom>
      <diagonal/>
    </border>
    <border>
      <left style="dashed">
        <color indexed="22"/>
      </left>
      <right style="dashed">
        <color indexed="22"/>
      </right>
      <top style="dashed">
        <color indexed="22"/>
      </top>
      <bottom style="dashed">
        <color indexed="22"/>
      </bottom>
      <diagonal/>
    </border>
    <border>
      <left style="dashed">
        <color indexed="22"/>
      </left>
      <right style="dashed">
        <color indexed="22"/>
      </right>
      <top/>
      <bottom style="dashed">
        <color indexed="22"/>
      </bottom>
      <diagonal/>
    </border>
    <border>
      <left style="thin">
        <color indexed="9"/>
      </left>
      <right style="thin">
        <color indexed="9"/>
      </right>
      <top style="thin">
        <color indexed="22"/>
      </top>
      <bottom style="thin">
        <color indexed="64"/>
      </bottom>
      <diagonal/>
    </border>
    <border>
      <left style="thin">
        <color indexed="22"/>
      </left>
      <right style="thin">
        <color indexed="22"/>
      </right>
      <top/>
      <bottom style="thin">
        <color indexed="22"/>
      </bottom>
      <diagonal/>
    </border>
    <border>
      <left style="thin">
        <color indexed="9"/>
      </left>
      <right/>
      <top style="thin">
        <color indexed="22"/>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64"/>
      </bottom>
      <diagonal/>
    </border>
    <border>
      <left/>
      <right/>
      <top style="medium">
        <color indexed="64"/>
      </top>
      <bottom style="thin">
        <color indexed="64"/>
      </bottom>
      <diagonal/>
    </border>
    <border>
      <left style="dashed">
        <color indexed="22"/>
      </left>
      <right/>
      <top style="dashed">
        <color indexed="22"/>
      </top>
      <bottom style="dashed">
        <color indexed="22"/>
      </bottom>
      <diagonal/>
    </border>
    <border>
      <left/>
      <right style="dashed">
        <color indexed="22"/>
      </right>
      <top style="dashed">
        <color indexed="22"/>
      </top>
      <bottom style="dashed">
        <color indexed="22"/>
      </bottom>
      <diagonal/>
    </border>
    <border>
      <left/>
      <right/>
      <top style="dashed">
        <color indexed="22"/>
      </top>
      <bottom style="dashed">
        <color indexed="22"/>
      </bottom>
      <diagonal/>
    </border>
    <border>
      <left style="dashed">
        <color indexed="22"/>
      </left>
      <right/>
      <top/>
      <bottom style="dashed">
        <color indexed="22"/>
      </bottom>
      <diagonal/>
    </border>
    <border>
      <left/>
      <right/>
      <top/>
      <bottom style="dashed">
        <color indexed="22"/>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9"/>
      </top>
      <bottom style="thin">
        <color indexed="9"/>
      </bottom>
      <diagonal/>
    </border>
    <border>
      <left/>
      <right/>
      <top/>
      <bottom style="medium">
        <color indexed="9"/>
      </bottom>
      <diagonal/>
    </border>
    <border>
      <left style="thin">
        <color indexed="64"/>
      </left>
      <right/>
      <top/>
      <bottom/>
      <diagonal/>
    </border>
    <border>
      <left/>
      <right style="thin">
        <color indexed="9"/>
      </right>
      <top style="thin">
        <color indexed="22"/>
      </top>
      <bottom style="thin">
        <color indexed="64"/>
      </bottom>
      <diagonal/>
    </border>
    <border>
      <left style="thin">
        <color indexed="9"/>
      </left>
      <right style="thin">
        <color indexed="64"/>
      </right>
      <top style="thin">
        <color indexed="64"/>
      </top>
      <bottom style="thin">
        <color indexed="64"/>
      </bottom>
      <diagonal/>
    </border>
    <border>
      <left style="thin">
        <color indexed="22"/>
      </left>
      <right/>
      <top/>
      <bottom/>
      <diagonal/>
    </border>
    <border>
      <left style="thin">
        <color indexed="22"/>
      </left>
      <right style="thin">
        <color indexed="22"/>
      </right>
      <top/>
      <bottom/>
      <diagonal/>
    </border>
    <border>
      <left/>
      <right/>
      <top/>
      <bottom style="thin">
        <color indexed="22"/>
      </bottom>
      <diagonal/>
    </border>
    <border>
      <left/>
      <right style="thin">
        <color indexed="64"/>
      </right>
      <top/>
      <bottom style="thin">
        <color indexed="22"/>
      </bottom>
      <diagonal/>
    </border>
    <border>
      <left style="thin">
        <color indexed="64"/>
      </left>
      <right/>
      <top/>
      <bottom style="thin">
        <color indexed="22"/>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dashed">
        <color indexed="22"/>
      </right>
      <top/>
      <bottom style="dashed">
        <color indexed="22"/>
      </bottom>
      <diagonal/>
    </border>
    <border>
      <left/>
      <right style="thin">
        <color indexed="64"/>
      </right>
      <top/>
      <bottom style="medium">
        <color indexed="64"/>
      </bottom>
      <diagonal/>
    </border>
  </borders>
  <cellStyleXfs count="4">
    <xf numFmtId="0" fontId="0" fillId="0" borderId="0"/>
    <xf numFmtId="0" fontId="16"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0" fillId="0" borderId="0" xfId="0" applyAlignment="1">
      <alignment wrapText="1"/>
    </xf>
    <xf numFmtId="0" fontId="3" fillId="0" borderId="2" xfId="0" applyFont="1" applyFill="1" applyBorder="1" applyAlignment="1">
      <alignment horizontal="center" vertical="center"/>
    </xf>
    <xf numFmtId="0" fontId="0" fillId="2" borderId="0" xfId="0" applyFill="1" applyBorder="1" applyAlignment="1"/>
    <xf numFmtId="0" fontId="2" fillId="0" borderId="3" xfId="0" applyFont="1" applyFill="1" applyBorder="1" applyAlignment="1">
      <alignment horizontal="center" vertical="center"/>
    </xf>
    <xf numFmtId="0" fontId="0" fillId="3" borderId="4" xfId="0" applyFill="1" applyBorder="1" applyAlignment="1" applyProtection="1">
      <alignment horizontal="center" vertical="center" wrapText="1"/>
      <protection locked="0"/>
    </xf>
    <xf numFmtId="0" fontId="2" fillId="3" borderId="4" xfId="0" applyFont="1" applyFill="1" applyBorder="1" applyProtection="1">
      <protection locked="0"/>
    </xf>
    <xf numFmtId="0" fontId="4" fillId="0" borderId="0" xfId="0" applyFont="1" applyAlignment="1">
      <alignment wrapText="1"/>
    </xf>
    <xf numFmtId="0" fontId="2" fillId="0" borderId="0" xfId="0" applyFont="1" applyFill="1" applyBorder="1" applyProtection="1"/>
    <xf numFmtId="0" fontId="0" fillId="0" borderId="0" xfId="0" applyFill="1" applyBorder="1"/>
    <xf numFmtId="0" fontId="0" fillId="0" borderId="5" xfId="0" applyBorder="1"/>
    <xf numFmtId="0" fontId="0" fillId="0" borderId="0" xfId="0" applyFill="1"/>
    <xf numFmtId="0" fontId="0" fillId="0" borderId="0" xfId="0" applyBorder="1"/>
    <xf numFmtId="0" fontId="4" fillId="0" borderId="0" xfId="0" applyFont="1"/>
    <xf numFmtId="2" fontId="0" fillId="0" borderId="6" xfId="0" applyNumberFormat="1" applyBorder="1"/>
    <xf numFmtId="2" fontId="0" fillId="0" borderId="7" xfId="0" applyNumberFormat="1" applyBorder="1"/>
    <xf numFmtId="0" fontId="0" fillId="0" borderId="0" xfId="0" applyNumberFormat="1" applyFill="1" applyBorder="1"/>
    <xf numFmtId="0" fontId="0" fillId="3" borderId="8" xfId="0" applyFill="1" applyBorder="1" applyAlignment="1" applyProtection="1">
      <alignment horizontal="right"/>
      <protection locked="0"/>
    </xf>
    <xf numFmtId="14" fontId="0" fillId="3" borderId="8" xfId="0" applyNumberFormat="1"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164" fontId="0" fillId="3" borderId="10" xfId="2" applyFont="1" applyFill="1" applyBorder="1" applyProtection="1">
      <protection locked="0"/>
    </xf>
    <xf numFmtId="0" fontId="0" fillId="3" borderId="11" xfId="0" applyFill="1" applyBorder="1" applyProtection="1">
      <protection locked="0"/>
    </xf>
    <xf numFmtId="0" fontId="0" fillId="0" borderId="0" xfId="0" applyFill="1" applyBorder="1" applyProtection="1">
      <protection locked="0"/>
    </xf>
    <xf numFmtId="164" fontId="0" fillId="0" borderId="0" xfId="0" applyNumberFormat="1" applyBorder="1"/>
    <xf numFmtId="164" fontId="0" fillId="0" borderId="0" xfId="0" applyNumberFormat="1" applyFill="1" applyBorder="1"/>
    <xf numFmtId="14" fontId="0" fillId="3" borderId="11" xfId="0" applyNumberFormat="1" applyFill="1" applyBorder="1" applyProtection="1">
      <protection locked="0"/>
    </xf>
    <xf numFmtId="1" fontId="0" fillId="3" borderId="8" xfId="0" applyNumberFormat="1" applyFill="1" applyBorder="1" applyAlignment="1" applyProtection="1">
      <alignment horizontal="right"/>
      <protection locked="0"/>
    </xf>
    <xf numFmtId="164" fontId="0" fillId="0" borderId="12" xfId="2" applyFont="1" applyBorder="1"/>
    <xf numFmtId="2" fontId="0" fillId="0" borderId="0" xfId="0" applyNumberFormat="1" applyFill="1" applyBorder="1"/>
    <xf numFmtId="0" fontId="6" fillId="0" borderId="0" xfId="0" applyFont="1"/>
    <xf numFmtId="0" fontId="3" fillId="0" borderId="0" xfId="0" applyFont="1"/>
    <xf numFmtId="1" fontId="0" fillId="0" borderId="0" xfId="0" applyNumberFormat="1"/>
    <xf numFmtId="0" fontId="2" fillId="0" borderId="13" xfId="0" applyFont="1" applyBorder="1"/>
    <xf numFmtId="0" fontId="0" fillId="0" borderId="14" xfId="0" applyBorder="1"/>
    <xf numFmtId="0" fontId="0" fillId="0" borderId="15" xfId="0" applyBorder="1"/>
    <xf numFmtId="0" fontId="0" fillId="0" borderId="16" xfId="0" applyBorder="1"/>
    <xf numFmtId="0" fontId="0" fillId="0" borderId="16" xfId="0" applyFill="1" applyBorder="1"/>
    <xf numFmtId="0" fontId="0" fillId="0" borderId="15" xfId="0" applyFill="1" applyBorder="1"/>
    <xf numFmtId="0" fontId="0" fillId="0" borderId="17" xfId="0" applyBorder="1"/>
    <xf numFmtId="0" fontId="0" fillId="0" borderId="2" xfId="0" applyBorder="1"/>
    <xf numFmtId="0" fontId="0" fillId="0" borderId="18" xfId="0" applyBorder="1"/>
    <xf numFmtId="0" fontId="0" fillId="0" borderId="19" xfId="0" applyBorder="1"/>
    <xf numFmtId="2" fontId="0" fillId="0" borderId="0" xfId="0" applyNumberFormat="1" applyBorder="1"/>
    <xf numFmtId="2" fontId="0" fillId="0" borderId="20" xfId="0" applyNumberFormat="1" applyBorder="1"/>
    <xf numFmtId="2" fontId="0" fillId="0" borderId="21" xfId="0" applyNumberFormat="1" applyBorder="1"/>
    <xf numFmtId="164" fontId="0" fillId="0" borderId="0" xfId="2" applyFont="1" applyBorder="1"/>
    <xf numFmtId="0" fontId="0" fillId="0" borderId="0" xfId="2" applyNumberFormat="1" applyFont="1" applyBorder="1"/>
    <xf numFmtId="2" fontId="0" fillId="0" borderId="22" xfId="0" applyNumberFormat="1" applyBorder="1"/>
    <xf numFmtId="0" fontId="0" fillId="0" borderId="0" xfId="0" applyBorder="1" applyAlignment="1">
      <alignment textRotation="90"/>
    </xf>
    <xf numFmtId="0" fontId="0" fillId="0" borderId="0" xfId="0" applyBorder="1" applyAlignment="1"/>
    <xf numFmtId="2" fontId="0" fillId="0" borderId="2" xfId="0" applyNumberFormat="1" applyBorder="1"/>
    <xf numFmtId="2" fontId="0" fillId="0" borderId="19" xfId="0" applyNumberFormat="1" applyBorder="1"/>
    <xf numFmtId="2" fontId="0" fillId="0" borderId="23" xfId="0" applyNumberFormat="1" applyBorder="1"/>
    <xf numFmtId="2" fontId="0" fillId="0" borderId="24" xfId="0" applyNumberFormat="1" applyBorder="1"/>
    <xf numFmtId="2" fontId="0" fillId="0" borderId="18" xfId="0" applyNumberFormat="1" applyBorder="1"/>
    <xf numFmtId="2" fontId="0" fillId="0" borderId="25" xfId="0" applyNumberFormat="1" applyBorder="1"/>
    <xf numFmtId="2" fontId="0" fillId="0" borderId="26" xfId="0" applyNumberFormat="1" applyBorder="1"/>
    <xf numFmtId="2" fontId="0" fillId="0" borderId="27" xfId="0" applyNumberFormat="1" applyBorder="1"/>
    <xf numFmtId="2" fontId="0" fillId="0" borderId="28" xfId="0" applyNumberFormat="1" applyBorder="1"/>
    <xf numFmtId="164" fontId="0" fillId="0" borderId="24" xfId="0" applyNumberFormat="1" applyFill="1" applyBorder="1"/>
    <xf numFmtId="164" fontId="0" fillId="0" borderId="19" xfId="0" applyNumberFormat="1" applyFill="1" applyBorder="1"/>
    <xf numFmtId="164" fontId="0" fillId="0" borderId="29" xfId="0" applyNumberFormat="1" applyFill="1" applyBorder="1"/>
    <xf numFmtId="164" fontId="0" fillId="0" borderId="30" xfId="0" applyNumberFormat="1" applyFill="1" applyBorder="1"/>
    <xf numFmtId="164" fontId="0" fillId="0" borderId="31" xfId="0" applyNumberFormat="1" applyFill="1" applyBorder="1"/>
    <xf numFmtId="164" fontId="0" fillId="0" borderId="6" xfId="0" applyNumberFormat="1" applyFill="1" applyBorder="1"/>
    <xf numFmtId="2" fontId="0" fillId="0" borderId="32" xfId="0" applyNumberFormat="1" applyBorder="1"/>
    <xf numFmtId="2" fontId="0" fillId="0" borderId="33" xfId="0" applyNumberFormat="1" applyBorder="1"/>
    <xf numFmtId="14" fontId="7" fillId="0" borderId="34" xfId="0" applyNumberFormat="1" applyFont="1" applyBorder="1" applyAlignment="1">
      <alignment horizontal="left" vertical="center"/>
    </xf>
    <xf numFmtId="14" fontId="7" fillId="0" borderId="34" xfId="0" applyNumberFormat="1" applyFont="1" applyBorder="1" applyAlignment="1">
      <alignment horizontal="center" vertical="center"/>
    </xf>
    <xf numFmtId="0" fontId="8" fillId="4" borderId="1" xfId="0" applyFont="1" applyFill="1" applyBorder="1"/>
    <xf numFmtId="0" fontId="8" fillId="4" borderId="35" xfId="0" applyFont="1" applyFill="1" applyBorder="1"/>
    <xf numFmtId="0" fontId="8" fillId="4" borderId="36" xfId="0" applyFont="1" applyFill="1" applyBorder="1"/>
    <xf numFmtId="0" fontId="8" fillId="0" borderId="1" xfId="0" applyFont="1" applyBorder="1"/>
    <xf numFmtId="0" fontId="9" fillId="0" borderId="1" xfId="0" applyFont="1" applyBorder="1"/>
    <xf numFmtId="164" fontId="9" fillId="0" borderId="1" xfId="2" applyFont="1" applyBorder="1"/>
    <xf numFmtId="164" fontId="8" fillId="0" borderId="1" xfId="2" applyFont="1" applyBorder="1"/>
    <xf numFmtId="164" fontId="8" fillId="0" borderId="35" xfId="2" applyFont="1" applyBorder="1"/>
    <xf numFmtId="164" fontId="4" fillId="0" borderId="0" xfId="0" applyNumberFormat="1" applyFont="1"/>
    <xf numFmtId="0" fontId="8" fillId="0" borderId="37" xfId="0" applyFont="1" applyBorder="1"/>
    <xf numFmtId="0" fontId="2" fillId="3" borderId="38" xfId="0" applyFont="1" applyFill="1" applyBorder="1" applyProtection="1">
      <protection locked="0"/>
    </xf>
    <xf numFmtId="0" fontId="2" fillId="0" borderId="38" xfId="0" applyFont="1" applyBorder="1"/>
    <xf numFmtId="0" fontId="10" fillId="0" borderId="0" xfId="0" applyFont="1"/>
    <xf numFmtId="0" fontId="11" fillId="0" borderId="0" xfId="0" applyFont="1" applyBorder="1"/>
    <xf numFmtId="0" fontId="2" fillId="0" borderId="0" xfId="0" applyFont="1" applyBorder="1" applyAlignment="1">
      <alignment horizontal="center"/>
    </xf>
    <xf numFmtId="164" fontId="0" fillId="0" borderId="0" xfId="2" applyFont="1"/>
    <xf numFmtId="0" fontId="0" fillId="0" borderId="0" xfId="0" applyFill="1" applyBorder="1" applyAlignment="1"/>
    <xf numFmtId="0" fontId="0" fillId="0" borderId="39" xfId="0" applyFill="1" applyBorder="1"/>
    <xf numFmtId="0" fontId="0" fillId="0" borderId="40" xfId="0" applyFill="1" applyBorder="1"/>
    <xf numFmtId="0" fontId="0" fillId="0" borderId="2" xfId="0" applyFill="1" applyBorder="1"/>
    <xf numFmtId="0" fontId="2" fillId="0" borderId="38" xfId="0" applyFont="1" applyBorder="1" applyAlignment="1">
      <alignment horizontal="right" wrapText="1"/>
    </xf>
    <xf numFmtId="0" fontId="0" fillId="0" borderId="41" xfId="0" applyBorder="1"/>
    <xf numFmtId="0" fontId="2" fillId="0" borderId="3" xfId="0" applyFont="1" applyFill="1" applyBorder="1" applyAlignment="1">
      <alignment horizontal="center" vertical="center" wrapText="1"/>
    </xf>
    <xf numFmtId="0" fontId="0" fillId="0" borderId="0" xfId="0" applyAlignment="1">
      <alignment horizontal="center"/>
    </xf>
    <xf numFmtId="165" fontId="0" fillId="3" borderId="0" xfId="0" applyNumberFormat="1" applyFill="1" applyProtection="1">
      <protection locked="0"/>
    </xf>
    <xf numFmtId="0" fontId="0" fillId="0" borderId="34" xfId="0" applyFill="1" applyBorder="1" applyAlignment="1">
      <alignment horizontal="center"/>
    </xf>
    <xf numFmtId="0" fontId="0" fillId="0" borderId="44" xfId="0" applyBorder="1"/>
    <xf numFmtId="0" fontId="0" fillId="0" borderId="45" xfId="0" applyBorder="1"/>
    <xf numFmtId="0" fontId="0" fillId="0" borderId="0" xfId="0" applyFill="1" applyBorder="1" applyProtection="1"/>
    <xf numFmtId="0" fontId="4" fillId="2" borderId="1" xfId="0" applyFont="1" applyFill="1" applyBorder="1" applyProtection="1"/>
    <xf numFmtId="0" fontId="4" fillId="2" borderId="46" xfId="0" applyFont="1" applyFill="1" applyBorder="1" applyProtection="1"/>
    <xf numFmtId="0" fontId="4" fillId="0" borderId="47" xfId="0" applyFont="1" applyBorder="1"/>
    <xf numFmtId="0" fontId="2" fillId="0" borderId="47" xfId="0" applyFont="1" applyBorder="1"/>
    <xf numFmtId="165" fontId="4" fillId="0" borderId="47" xfId="0" applyNumberFormat="1" applyFont="1" applyBorder="1"/>
    <xf numFmtId="164" fontId="4" fillId="0" borderId="47" xfId="2" applyFont="1" applyBorder="1"/>
    <xf numFmtId="0" fontId="4" fillId="0" borderId="47" xfId="0" applyFont="1" applyBorder="1" applyAlignment="1">
      <alignment horizontal="right"/>
    </xf>
    <xf numFmtId="0" fontId="4" fillId="0" borderId="47" xfId="0" applyNumberFormat="1" applyFont="1" applyBorder="1"/>
    <xf numFmtId="0" fontId="12" fillId="0" borderId="47" xfId="0" applyFont="1" applyBorder="1"/>
    <xf numFmtId="164" fontId="13" fillId="0" borderId="47" xfId="2" applyFont="1" applyFill="1" applyBorder="1"/>
    <xf numFmtId="164" fontId="0" fillId="0" borderId="0" xfId="0" applyNumberFormat="1"/>
    <xf numFmtId="166" fontId="0" fillId="0" borderId="0" xfId="0" applyNumberFormat="1"/>
    <xf numFmtId="167" fontId="0" fillId="0" borderId="0" xfId="0" applyNumberFormat="1"/>
    <xf numFmtId="0" fontId="4" fillId="0" borderId="38" xfId="0" applyFont="1" applyBorder="1" applyAlignment="1">
      <alignment vertical="center"/>
    </xf>
    <xf numFmtId="0" fontId="14" fillId="0" borderId="38" xfId="0" applyFont="1" applyBorder="1" applyAlignment="1">
      <alignment vertical="center"/>
    </xf>
    <xf numFmtId="0" fontId="4" fillId="0" borderId="38" xfId="0" applyFont="1" applyBorder="1" applyAlignment="1">
      <alignment horizontal="center" vertical="center"/>
    </xf>
    <xf numFmtId="0" fontId="4" fillId="0" borderId="38" xfId="0" applyFont="1" applyBorder="1" applyAlignment="1">
      <alignment horizontal="right" vertical="center"/>
    </xf>
    <xf numFmtId="14" fontId="4" fillId="0" borderId="38" xfId="0" applyNumberFormat="1" applyFont="1" applyBorder="1" applyAlignment="1">
      <alignment horizontal="left" vertical="center"/>
    </xf>
    <xf numFmtId="164" fontId="9" fillId="0" borderId="1" xfId="2" applyFont="1" applyBorder="1" applyProtection="1">
      <protection locked="0"/>
    </xf>
    <xf numFmtId="0" fontId="0" fillId="0" borderId="0" xfId="0" applyProtection="1">
      <protection locked="0"/>
    </xf>
    <xf numFmtId="0" fontId="8" fillId="4" borderId="49" xfId="0" applyFont="1" applyFill="1" applyBorder="1" applyAlignment="1" applyProtection="1">
      <alignment horizontal="center" vertical="center" wrapText="1"/>
      <protection locked="0"/>
    </xf>
    <xf numFmtId="0" fontId="4" fillId="0" borderId="0" xfId="0" applyFont="1" applyAlignment="1" applyProtection="1">
      <alignment wrapText="1"/>
    </xf>
    <xf numFmtId="0" fontId="8" fillId="0" borderId="50" xfId="0" applyFont="1" applyBorder="1" applyProtection="1">
      <protection locked="0"/>
    </xf>
    <xf numFmtId="0" fontId="9" fillId="0" borderId="1" xfId="0" applyFont="1" applyBorder="1" applyProtection="1">
      <protection locked="0"/>
    </xf>
    <xf numFmtId="0" fontId="8" fillId="0" borderId="1" xfId="0" applyFont="1" applyBorder="1" applyProtection="1">
      <protection locked="0"/>
    </xf>
    <xf numFmtId="0" fontId="8" fillId="4" borderId="49" xfId="0" applyFont="1" applyFill="1" applyBorder="1" applyAlignment="1" applyProtection="1">
      <alignment horizontal="center" vertical="center" wrapText="1"/>
    </xf>
    <xf numFmtId="0" fontId="8" fillId="4" borderId="51" xfId="0" applyFont="1" applyFill="1" applyBorder="1" applyAlignment="1" applyProtection="1">
      <alignment horizontal="center" vertical="center" wrapText="1"/>
    </xf>
    <xf numFmtId="0" fontId="0" fillId="0" borderId="0" xfId="0" applyFill="1" applyBorder="1" applyAlignment="1" applyProtection="1">
      <alignment horizontal="left" vertical="center"/>
    </xf>
    <xf numFmtId="164" fontId="4" fillId="0" borderId="47" xfId="2" applyFont="1" applyBorder="1" applyProtection="1"/>
    <xf numFmtId="0" fontId="0" fillId="0" borderId="47" xfId="0" applyBorder="1" applyProtection="1"/>
    <xf numFmtId="0" fontId="2" fillId="0" borderId="47" xfId="0" applyFont="1" applyBorder="1" applyAlignment="1">
      <alignment horizontal="center"/>
    </xf>
    <xf numFmtId="0" fontId="2" fillId="0" borderId="47" xfId="0" quotePrefix="1" applyFont="1" applyBorder="1" applyAlignment="1">
      <alignment horizontal="center"/>
    </xf>
    <xf numFmtId="0" fontId="4" fillId="0" borderId="54" xfId="0" applyFont="1" applyBorder="1" applyAlignment="1">
      <alignment vertical="center"/>
    </xf>
    <xf numFmtId="0" fontId="14" fillId="0" borderId="54" xfId="0" applyFont="1" applyBorder="1" applyAlignment="1">
      <alignment vertical="center"/>
    </xf>
    <xf numFmtId="0" fontId="4" fillId="0" borderId="54" xfId="0" applyFont="1" applyBorder="1" applyAlignment="1">
      <alignment horizontal="center" vertical="center"/>
    </xf>
    <xf numFmtId="0" fontId="4" fillId="0" borderId="54" xfId="0" applyFont="1" applyBorder="1" applyAlignment="1">
      <alignment horizontal="right" vertical="center"/>
    </xf>
    <xf numFmtId="165" fontId="4" fillId="0" borderId="54" xfId="0" applyNumberFormat="1" applyFont="1" applyBorder="1" applyAlignment="1">
      <alignment vertical="center"/>
    </xf>
    <xf numFmtId="165" fontId="4" fillId="0" borderId="54" xfId="0" applyNumberFormat="1" applyFont="1" applyBorder="1" applyAlignment="1">
      <alignment horizontal="left" vertical="center"/>
    </xf>
    <xf numFmtId="0" fontId="4" fillId="0" borderId="55" xfId="0" applyNumberFormat="1" applyFont="1" applyBorder="1"/>
    <xf numFmtId="0" fontId="4" fillId="0" borderId="56" xfId="0" applyNumberFormat="1" applyFont="1" applyBorder="1"/>
    <xf numFmtId="0" fontId="4" fillId="0" borderId="57" xfId="0" applyNumberFormat="1" applyFont="1" applyBorder="1"/>
    <xf numFmtId="0" fontId="4" fillId="0" borderId="55" xfId="0" applyFont="1" applyBorder="1"/>
    <xf numFmtId="0" fontId="4" fillId="0" borderId="56" xfId="0" applyFont="1" applyBorder="1"/>
    <xf numFmtId="0" fontId="4" fillId="0" borderId="57" xfId="0" applyFont="1" applyBorder="1"/>
    <xf numFmtId="0" fontId="2" fillId="0" borderId="58" xfId="0" applyFont="1" applyBorder="1" applyAlignment="1">
      <alignment horizontal="center"/>
    </xf>
    <xf numFmtId="0" fontId="2" fillId="0" borderId="59" xfId="0" applyFont="1" applyBorder="1" applyAlignment="1">
      <alignment horizontal="center"/>
    </xf>
    <xf numFmtId="14" fontId="0" fillId="0" borderId="0" xfId="0" applyNumberFormat="1"/>
    <xf numFmtId="14" fontId="0" fillId="0" borderId="0" xfId="0" applyNumberFormat="1" applyAlignment="1">
      <alignment horizontal="right"/>
    </xf>
    <xf numFmtId="166" fontId="0" fillId="0" borderId="0" xfId="2" applyNumberFormat="1" applyFont="1" applyBorder="1"/>
    <xf numFmtId="14" fontId="2" fillId="3" borderId="60" xfId="0" applyNumberFormat="1" applyFont="1" applyFill="1" applyBorder="1" applyAlignment="1" applyProtection="1">
      <alignment horizontal="center"/>
      <protection locked="0"/>
    </xf>
    <xf numFmtId="0" fontId="2" fillId="0" borderId="0" xfId="0" applyFont="1" applyBorder="1" applyAlignment="1">
      <alignment horizontal="center" wrapText="1"/>
    </xf>
    <xf numFmtId="0" fontId="18" fillId="0" borderId="0" xfId="0" applyFont="1" applyAlignment="1">
      <alignment wrapText="1"/>
    </xf>
    <xf numFmtId="164" fontId="4" fillId="0" borderId="0" xfId="2" applyFont="1"/>
    <xf numFmtId="14" fontId="4" fillId="0" borderId="0" xfId="0" applyNumberFormat="1" applyFont="1"/>
    <xf numFmtId="0" fontId="2" fillId="0" borderId="0" xfId="0" applyFont="1"/>
    <xf numFmtId="0" fontId="19" fillId="0" borderId="0" xfId="0" applyFont="1"/>
    <xf numFmtId="0" fontId="16" fillId="0" borderId="0" xfId="1" applyAlignment="1" applyProtection="1"/>
    <xf numFmtId="0" fontId="2" fillId="0" borderId="16" xfId="0" applyFont="1" applyBorder="1" applyAlignment="1">
      <alignment horizontal="center" wrapText="1"/>
    </xf>
    <xf numFmtId="0" fontId="2" fillId="0" borderId="14" xfId="0" applyFont="1" applyBorder="1" applyAlignment="1">
      <alignment horizontal="center" wrapText="1"/>
    </xf>
    <xf numFmtId="14" fontId="2" fillId="3" borderId="61" xfId="0" applyNumberFormat="1" applyFont="1" applyFill="1" applyBorder="1" applyAlignment="1" applyProtection="1">
      <alignment horizontal="center"/>
      <protection locked="0"/>
    </xf>
    <xf numFmtId="0" fontId="4" fillId="0" borderId="62" xfId="0" applyFont="1" applyBorder="1" applyAlignment="1">
      <alignment wrapText="1"/>
    </xf>
    <xf numFmtId="0" fontId="0" fillId="0" borderId="0" xfId="0" applyProtection="1"/>
    <xf numFmtId="0" fontId="0" fillId="0" borderId="63" xfId="0" applyFill="1" applyBorder="1" applyProtection="1"/>
    <xf numFmtId="164" fontId="0" fillId="0" borderId="10" xfId="2" applyFont="1" applyFill="1" applyBorder="1" applyProtection="1"/>
    <xf numFmtId="0" fontId="0" fillId="0" borderId="4" xfId="0" applyFill="1" applyBorder="1" applyAlignment="1" applyProtection="1">
      <alignment horizontal="center" vertical="center" wrapText="1"/>
    </xf>
    <xf numFmtId="0" fontId="2" fillId="0" borderId="4" xfId="0" applyFont="1" applyFill="1" applyBorder="1" applyProtection="1"/>
    <xf numFmtId="0" fontId="2" fillId="0" borderId="0" xfId="0" applyFont="1" applyBorder="1"/>
    <xf numFmtId="0" fontId="2" fillId="3" borderId="64" xfId="0" applyFont="1" applyFill="1" applyBorder="1" applyProtection="1">
      <protection locked="0"/>
    </xf>
    <xf numFmtId="9" fontId="9" fillId="0" borderId="1" xfId="3" applyFont="1" applyBorder="1" applyProtection="1"/>
    <xf numFmtId="0" fontId="8" fillId="4" borderId="51" xfId="0" quotePrefix="1" applyFont="1" applyFill="1" applyBorder="1" applyAlignment="1" applyProtection="1">
      <alignment horizontal="center" vertical="center" wrapText="1"/>
    </xf>
    <xf numFmtId="1" fontId="0" fillId="0" borderId="2" xfId="0" applyNumberFormat="1" applyBorder="1"/>
    <xf numFmtId="1" fontId="0" fillId="0" borderId="0" xfId="0" applyNumberFormat="1" applyBorder="1"/>
    <xf numFmtId="0" fontId="0" fillId="0" borderId="65" xfId="0" applyBorder="1"/>
    <xf numFmtId="0" fontId="0" fillId="0" borderId="65" xfId="0" applyFill="1" applyBorder="1"/>
    <xf numFmtId="164" fontId="9" fillId="0" borderId="35" xfId="2" applyFont="1" applyBorder="1" applyProtection="1">
      <protection locked="0"/>
    </xf>
    <xf numFmtId="0" fontId="8" fillId="4" borderId="66" xfId="0" applyFont="1" applyFill="1" applyBorder="1" applyAlignment="1" applyProtection="1">
      <alignment horizontal="center" vertical="center" wrapText="1"/>
      <protection locked="0"/>
    </xf>
    <xf numFmtId="0" fontId="8" fillId="0" borderId="46" xfId="0" applyFont="1" applyBorder="1" applyProtection="1">
      <protection locked="0"/>
    </xf>
    <xf numFmtId="0" fontId="0" fillId="4" borderId="0" xfId="0" applyFill="1" applyBorder="1" applyAlignment="1">
      <alignment horizontal="center" vertical="center"/>
    </xf>
    <xf numFmtId="0" fontId="8" fillId="4" borderId="0" xfId="0" applyFont="1" applyFill="1" applyBorder="1" applyAlignment="1">
      <alignment horizontal="center" vertical="center"/>
    </xf>
    <xf numFmtId="164" fontId="9" fillId="4" borderId="0" xfId="2" applyFont="1" applyFill="1" applyBorder="1" applyProtection="1">
      <protection locked="0"/>
    </xf>
    <xf numFmtId="0" fontId="0" fillId="4" borderId="0" xfId="0" applyFill="1" applyBorder="1" applyProtection="1">
      <protection locked="0"/>
    </xf>
    <xf numFmtId="0" fontId="12" fillId="0" borderId="0" xfId="0" applyNumberFormat="1" applyFont="1"/>
    <xf numFmtId="0" fontId="2" fillId="0" borderId="38" xfId="0" applyFont="1" applyBorder="1" applyAlignment="1">
      <alignment horizontal="center" vertical="center" wrapText="1"/>
    </xf>
    <xf numFmtId="0" fontId="20" fillId="3" borderId="38" xfId="0" applyFont="1" applyFill="1" applyBorder="1" applyAlignment="1" applyProtection="1">
      <alignment horizontal="center" vertical="center"/>
      <protection locked="0"/>
    </xf>
    <xf numFmtId="0" fontId="0" fillId="3" borderId="0" xfId="0" applyFill="1"/>
    <xf numFmtId="0" fontId="0" fillId="3" borderId="67" xfId="0" applyFill="1" applyBorder="1" applyAlignment="1" applyProtection="1">
      <alignment horizontal="left"/>
      <protection locked="0"/>
    </xf>
    <xf numFmtId="0" fontId="16" fillId="0" borderId="0" xfId="1" applyFill="1" applyAlignment="1" applyProtection="1"/>
    <xf numFmtId="0" fontId="4" fillId="0" borderId="65" xfId="0" applyFont="1" applyBorder="1"/>
    <xf numFmtId="14" fontId="4" fillId="0" borderId="54" xfId="0" applyNumberFormat="1" applyFont="1" applyBorder="1" applyAlignment="1">
      <alignment horizontal="right" vertical="center"/>
    </xf>
    <xf numFmtId="14" fontId="2" fillId="0" borderId="0" xfId="0" applyNumberFormat="1" applyFont="1"/>
    <xf numFmtId="0" fontId="0" fillId="3" borderId="8" xfId="0" applyFill="1" applyBorder="1" applyAlignment="1" applyProtection="1">
      <alignment horizontal="right"/>
    </xf>
    <xf numFmtId="14" fontId="0" fillId="3" borderId="8" xfId="0" applyNumberFormat="1" applyFill="1" applyBorder="1" applyProtection="1"/>
    <xf numFmtId="0" fontId="0" fillId="3" borderId="8" xfId="0" applyFill="1" applyBorder="1" applyProtection="1"/>
    <xf numFmtId="164" fontId="0" fillId="3" borderId="10" xfId="2" applyFont="1" applyFill="1" applyBorder="1" applyProtection="1"/>
    <xf numFmtId="0" fontId="0" fillId="4" borderId="0" xfId="0" applyFill="1"/>
    <xf numFmtId="0" fontId="2" fillId="4" borderId="0" xfId="0" applyFont="1" applyFill="1"/>
    <xf numFmtId="0" fontId="0" fillId="8" borderId="8" xfId="0" applyFill="1" applyBorder="1" applyProtection="1">
      <protection locked="0"/>
    </xf>
    <xf numFmtId="0" fontId="22" fillId="0" borderId="0" xfId="0" applyFont="1"/>
    <xf numFmtId="0" fontId="23" fillId="0" borderId="0" xfId="0" applyFont="1"/>
    <xf numFmtId="0" fontId="0" fillId="3" borderId="4" xfId="0" applyFill="1" applyBorder="1" applyAlignment="1" applyProtection="1">
      <alignment horizontal="center" vertical="center"/>
      <protection locked="0"/>
    </xf>
    <xf numFmtId="0" fontId="21" fillId="0" borderId="0" xfId="1" applyFont="1" applyAlignment="1" applyProtection="1"/>
    <xf numFmtId="0" fontId="1" fillId="0" borderId="0" xfId="0" applyFont="1"/>
    <xf numFmtId="0" fontId="0" fillId="0" borderId="0" xfId="0" applyAlignment="1">
      <alignment wrapText="1"/>
    </xf>
    <xf numFmtId="0" fontId="0" fillId="0" borderId="0" xfId="0" applyBorder="1" applyAlignment="1">
      <alignment horizontal="center" vertical="center"/>
    </xf>
    <xf numFmtId="0" fontId="2" fillId="0" borderId="48" xfId="0" applyFont="1" applyBorder="1" applyAlignment="1">
      <alignment horizontal="center"/>
    </xf>
    <xf numFmtId="0" fontId="0" fillId="0" borderId="0" xfId="0" applyBorder="1" applyAlignment="1">
      <alignment horizontal="center" vertical="center" wrapText="1"/>
    </xf>
    <xf numFmtId="0" fontId="1" fillId="0" borderId="0" xfId="0" applyFont="1" applyAlignment="1">
      <alignment wrapText="1"/>
    </xf>
    <xf numFmtId="0" fontId="1" fillId="4" borderId="0" xfId="0" applyFont="1" applyFill="1"/>
    <xf numFmtId="0" fontId="1" fillId="3" borderId="4" xfId="0" applyFont="1" applyFill="1" applyBorder="1" applyAlignment="1" applyProtection="1">
      <alignment vertical="center"/>
      <protection locked="0"/>
    </xf>
    <xf numFmtId="0" fontId="1" fillId="0" borderId="4" xfId="0" applyFont="1" applyFill="1" applyBorder="1" applyAlignment="1" applyProtection="1">
      <alignment vertical="center"/>
    </xf>
    <xf numFmtId="0" fontId="1" fillId="0" borderId="0" xfId="0" applyFont="1" applyFill="1" applyBorder="1" applyAlignment="1" applyProtection="1">
      <alignment vertical="center"/>
    </xf>
    <xf numFmtId="0" fontId="1" fillId="8" borderId="52" xfId="0" applyFont="1" applyFill="1" applyBorder="1" applyAlignment="1">
      <alignment horizontal="center"/>
    </xf>
    <xf numFmtId="0" fontId="1" fillId="4" borderId="42" xfId="0" applyFont="1" applyFill="1" applyBorder="1" applyAlignment="1">
      <alignment horizontal="center"/>
    </xf>
    <xf numFmtId="0" fontId="1" fillId="0" borderId="0" xfId="0" applyFont="1" applyBorder="1"/>
    <xf numFmtId="0" fontId="1" fillId="0" borderId="0" xfId="0" applyFont="1" applyAlignment="1">
      <alignment horizontal="center"/>
    </xf>
    <xf numFmtId="0" fontId="1" fillId="4" borderId="43" xfId="0" applyFont="1" applyFill="1" applyBorder="1" applyAlignment="1">
      <alignment horizontal="center"/>
    </xf>
    <xf numFmtId="0" fontId="1" fillId="8" borderId="53" xfId="0" applyFont="1" applyFill="1" applyBorder="1" applyAlignment="1">
      <alignment horizontal="center"/>
    </xf>
    <xf numFmtId="0" fontId="1" fillId="0" borderId="0" xfId="0" applyFont="1" applyFill="1" applyBorder="1"/>
    <xf numFmtId="0" fontId="1" fillId="3" borderId="11" xfId="0" applyFont="1" applyFill="1" applyBorder="1" applyProtection="1">
      <protection locked="0"/>
    </xf>
    <xf numFmtId="1" fontId="1" fillId="3" borderId="8" xfId="0" applyNumberFormat="1" applyFont="1" applyFill="1" applyBorder="1" applyAlignment="1" applyProtection="1">
      <alignment horizontal="right"/>
      <protection locked="0"/>
    </xf>
    <xf numFmtId="0" fontId="1" fillId="3" borderId="8" xfId="0" applyFont="1" applyFill="1" applyBorder="1" applyProtection="1">
      <protection locked="0"/>
    </xf>
    <xf numFmtId="0" fontId="1" fillId="3" borderId="9" xfId="0" applyFont="1" applyFill="1" applyBorder="1" applyProtection="1">
      <protection locked="0"/>
    </xf>
    <xf numFmtId="0" fontId="1" fillId="8" borderId="8" xfId="0" applyFont="1" applyFill="1" applyBorder="1" applyProtection="1">
      <protection locked="0"/>
    </xf>
    <xf numFmtId="0" fontId="1" fillId="0" borderId="0" xfId="0" applyFont="1" applyFill="1" applyBorder="1" applyProtection="1">
      <protection locked="0"/>
    </xf>
    <xf numFmtId="14" fontId="1" fillId="0" borderId="0" xfId="0" applyNumberFormat="1" applyFont="1" applyAlignment="1">
      <alignment horizontal="left"/>
    </xf>
    <xf numFmtId="1" fontId="1" fillId="0" borderId="0" xfId="0" applyNumberFormat="1" applyFont="1"/>
    <xf numFmtId="2" fontId="1" fillId="0" borderId="21" xfId="0" applyNumberFormat="1" applyFont="1" applyBorder="1"/>
    <xf numFmtId="0" fontId="1" fillId="0" borderId="2" xfId="0" applyFont="1" applyBorder="1"/>
    <xf numFmtId="0" fontId="1" fillId="9" borderId="2" xfId="0" applyFont="1" applyFill="1" applyBorder="1"/>
    <xf numFmtId="0" fontId="1" fillId="5" borderId="2" xfId="0" applyFont="1" applyFill="1" applyBorder="1"/>
    <xf numFmtId="0" fontId="1" fillId="0" borderId="2" xfId="0" applyFont="1" applyFill="1" applyBorder="1"/>
    <xf numFmtId="14" fontId="1" fillId="0" borderId="2" xfId="0" applyNumberFormat="1" applyFont="1" applyBorder="1"/>
    <xf numFmtId="0" fontId="1" fillId="4" borderId="52" xfId="0" applyFont="1" applyFill="1" applyBorder="1" applyAlignment="1">
      <alignment horizontal="center"/>
    </xf>
    <xf numFmtId="0" fontId="1" fillId="4" borderId="53" xfId="0" applyFont="1" applyFill="1" applyBorder="1" applyAlignment="1">
      <alignment horizontal="center"/>
    </xf>
    <xf numFmtId="0" fontId="1" fillId="3" borderId="11" xfId="0" applyFont="1" applyFill="1" applyBorder="1" applyProtection="1"/>
    <xf numFmtId="0" fontId="10" fillId="0" borderId="23" xfId="0" applyFont="1" applyFill="1" applyBorder="1"/>
    <xf numFmtId="0" fontId="1" fillId="3" borderId="3" xfId="0" applyFont="1" applyFill="1" applyBorder="1" applyProtection="1">
      <protection locked="0"/>
    </xf>
    <xf numFmtId="0" fontId="10" fillId="0" borderId="65" xfId="0" applyFont="1" applyBorder="1"/>
    <xf numFmtId="0" fontId="10" fillId="0" borderId="15" xfId="0" applyFont="1" applyBorder="1" applyAlignment="1">
      <alignment horizontal="right"/>
    </xf>
    <xf numFmtId="165" fontId="1" fillId="0" borderId="0" xfId="0" applyNumberFormat="1" applyFont="1"/>
    <xf numFmtId="0" fontId="1" fillId="0" borderId="0" xfId="0" applyFont="1" applyAlignment="1"/>
    <xf numFmtId="0" fontId="1" fillId="0" borderId="38" xfId="0" applyFont="1" applyBorder="1" applyAlignment="1">
      <alignment wrapText="1"/>
    </xf>
    <xf numFmtId="0" fontId="1" fillId="0" borderId="38" xfId="0" applyFont="1" applyBorder="1"/>
    <xf numFmtId="0" fontId="1" fillId="0" borderId="0" xfId="0" quotePrefix="1" applyFont="1" applyAlignment="1">
      <alignment wrapText="1"/>
    </xf>
    <xf numFmtId="0" fontId="1" fillId="0" borderId="47" xfId="0" applyFont="1" applyBorder="1" applyProtection="1"/>
    <xf numFmtId="0" fontId="1" fillId="0" borderId="0" xfId="0" applyFont="1" applyBorder="1" applyProtection="1"/>
    <xf numFmtId="0" fontId="1" fillId="0" borderId="0" xfId="0" applyNumberFormat="1" applyFont="1"/>
    <xf numFmtId="166" fontId="1" fillId="0" borderId="0" xfId="0" applyNumberFormat="1" applyFont="1"/>
    <xf numFmtId="0" fontId="0" fillId="0" borderId="0" xfId="0" applyAlignment="1">
      <alignment wrapText="1"/>
    </xf>
    <xf numFmtId="0" fontId="2"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3" fillId="0" borderId="34"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xf numFmtId="0" fontId="1" fillId="2" borderId="68" xfId="0" applyFont="1" applyFill="1" applyBorder="1" applyAlignment="1">
      <alignment horizontal="center" vertical="center" wrapText="1"/>
    </xf>
    <xf numFmtId="0" fontId="0" fillId="0" borderId="0" xfId="0" applyAlignment="1">
      <alignment horizontal="center" wrapText="1"/>
    </xf>
    <xf numFmtId="0" fontId="0" fillId="0" borderId="68" xfId="0" applyBorder="1" applyAlignment="1">
      <alignment horizontal="center" wrapText="1"/>
    </xf>
    <xf numFmtId="0" fontId="6" fillId="3"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2" fillId="0" borderId="69" xfId="0" applyFont="1" applyFill="1" applyBorder="1" applyAlignment="1">
      <alignment horizontal="left" vertical="center" wrapText="1"/>
    </xf>
    <xf numFmtId="0" fontId="0" fillId="0" borderId="50" xfId="0" applyBorder="1" applyAlignment="1">
      <alignment horizontal="left" vertical="center"/>
    </xf>
    <xf numFmtId="0" fontId="16" fillId="0" borderId="3" xfId="1" applyBorder="1" applyAlignment="1" applyProtection="1">
      <alignment horizontal="center" vertical="center" wrapText="1"/>
    </xf>
    <xf numFmtId="0" fontId="16" fillId="0" borderId="3" xfId="1" applyBorder="1" applyAlignment="1" applyProtection="1">
      <alignment horizontal="center" wrapText="1"/>
    </xf>
    <xf numFmtId="0" fontId="1" fillId="4" borderId="52" xfId="0" applyFont="1" applyFill="1" applyBorder="1" applyAlignment="1">
      <alignment horizontal="center" wrapText="1"/>
    </xf>
    <xf numFmtId="0" fontId="0" fillId="0" borderId="53" xfId="0" applyBorder="1" applyAlignment="1">
      <alignment horizontal="center" wrapText="1"/>
    </xf>
    <xf numFmtId="0" fontId="1" fillId="4" borderId="52" xfId="0" applyFont="1" applyFill="1" applyBorder="1" applyAlignment="1">
      <alignment horizontal="center" vertical="top"/>
    </xf>
    <xf numFmtId="0" fontId="0" fillId="0" borderId="53" xfId="0" applyBorder="1" applyAlignment="1">
      <alignment horizontal="center" vertical="top"/>
    </xf>
    <xf numFmtId="0" fontId="1" fillId="4" borderId="42" xfId="0" applyFont="1" applyFill="1" applyBorder="1" applyAlignment="1">
      <alignment horizontal="center"/>
    </xf>
    <xf numFmtId="0" fontId="0" fillId="6" borderId="0" xfId="0" applyFill="1" applyAlignment="1">
      <alignment wrapText="1"/>
    </xf>
    <xf numFmtId="0" fontId="0" fillId="0" borderId="18" xfId="0" applyFill="1" applyBorder="1" applyAlignment="1">
      <alignment horizontal="center"/>
    </xf>
    <xf numFmtId="0" fontId="0" fillId="0" borderId="19"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 xfId="0" applyBorder="1" applyAlignment="1">
      <alignment horizontal="center"/>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73" xfId="0" applyFont="1" applyBorder="1" applyAlignment="1">
      <alignment wrapText="1"/>
    </xf>
    <xf numFmtId="0" fontId="0" fillId="0" borderId="34" xfId="0" applyBorder="1" applyAlignment="1">
      <alignment wrapText="1"/>
    </xf>
    <xf numFmtId="0" fontId="0" fillId="0" borderId="73" xfId="0" applyBorder="1" applyAlignment="1">
      <alignment wrapText="1"/>
    </xf>
    <xf numFmtId="0" fontId="1" fillId="4" borderId="52" xfId="0" applyFont="1" applyFill="1" applyBorder="1" applyAlignment="1">
      <alignment horizontal="center"/>
    </xf>
    <xf numFmtId="0" fontId="0" fillId="0" borderId="53" xfId="0" applyBorder="1" applyAlignment="1">
      <alignment horizontal="center"/>
    </xf>
    <xf numFmtId="14" fontId="7" fillId="0" borderId="34" xfId="0" applyNumberFormat="1" applyFont="1" applyBorder="1" applyAlignment="1">
      <alignment horizontal="righ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7" fillId="0" borderId="2" xfId="0" applyFont="1" applyBorder="1" applyAlignment="1">
      <alignment horizontal="center" vertical="center"/>
    </xf>
    <xf numFmtId="0" fontId="0" fillId="0" borderId="0" xfId="0" applyAlignment="1">
      <alignment horizontal="center" vertical="center" wrapText="1"/>
    </xf>
    <xf numFmtId="0" fontId="0" fillId="0" borderId="20" xfId="0" applyBorder="1" applyAlignment="1">
      <alignment horizontal="center" vertical="center" wrapText="1"/>
    </xf>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7" fillId="0" borderId="0" xfId="0" applyFont="1" applyAlignment="1">
      <alignment horizontal="center" vertical="center"/>
    </xf>
    <xf numFmtId="0" fontId="0" fillId="0" borderId="0" xfId="0"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0" fontId="1" fillId="0" borderId="65" xfId="0" applyNumberFormat="1" applyFont="1" applyFill="1" applyBorder="1" applyAlignment="1">
      <alignment wrapText="1"/>
    </xf>
    <xf numFmtId="0" fontId="2" fillId="2" borderId="65" xfId="0" applyNumberFormat="1" applyFont="1" applyFill="1" applyBorder="1" applyAlignment="1">
      <alignment wrapText="1"/>
    </xf>
    <xf numFmtId="0" fontId="2" fillId="2" borderId="0" xfId="0" applyFont="1" applyFill="1" applyAlignment="1">
      <alignment wrapText="1"/>
    </xf>
    <xf numFmtId="0" fontId="7" fillId="0" borderId="74" xfId="0" applyFont="1" applyBorder="1" applyAlignment="1">
      <alignment horizontal="center" vertical="center" wrapText="1"/>
    </xf>
    <xf numFmtId="0" fontId="2" fillId="0" borderId="75" xfId="0" applyFont="1" applyBorder="1" applyAlignment="1">
      <alignment horizontal="center"/>
    </xf>
    <xf numFmtId="0" fontId="2" fillId="0" borderId="48" xfId="0" applyFont="1" applyBorder="1" applyAlignment="1">
      <alignment horizontal="center"/>
    </xf>
    <xf numFmtId="0" fontId="1" fillId="7" borderId="65"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60" xfId="0" applyBorder="1" applyAlignment="1">
      <alignment wrapText="1"/>
    </xf>
    <xf numFmtId="0" fontId="0" fillId="0" borderId="38" xfId="0" applyBorder="1" applyAlignment="1">
      <alignment wrapText="1"/>
    </xf>
    <xf numFmtId="0" fontId="0" fillId="0" borderId="76" xfId="0" applyBorder="1" applyAlignment="1">
      <alignment wrapText="1"/>
    </xf>
    <xf numFmtId="0" fontId="1" fillId="0" borderId="0" xfId="0" applyFont="1" applyAlignment="1">
      <alignment horizontal="right"/>
    </xf>
    <xf numFmtId="0" fontId="0" fillId="0" borderId="0" xfId="0" applyAlignment="1">
      <alignment horizontal="right"/>
    </xf>
    <xf numFmtId="0" fontId="1" fillId="0" borderId="38" xfId="0" applyFont="1" applyFill="1" applyBorder="1" applyAlignment="1">
      <alignment horizontal="center" vertical="center" wrapText="1"/>
    </xf>
    <xf numFmtId="0" fontId="7" fillId="0" borderId="54" xfId="0" applyFont="1" applyBorder="1" applyAlignment="1">
      <alignment horizontal="center" vertical="center" wrapText="1"/>
    </xf>
  </cellXfs>
  <cellStyles count="4">
    <cellStyle name="Komma" xfId="2" builtinId="3"/>
    <cellStyle name="Link" xfId="1" builtinId="8"/>
    <cellStyle name="Prozent" xfId="3" builtinId="5"/>
    <cellStyle name="Standard" xfId="0" builtinId="0"/>
  </cellStyles>
  <dxfs count="161">
    <dxf>
      <font>
        <b/>
        <i val="0"/>
      </font>
    </dxf>
    <dxf>
      <font>
        <b/>
        <i val="0"/>
      </font>
    </dxf>
    <dxf>
      <font>
        <b/>
        <i val="0"/>
      </font>
    </dxf>
    <dxf>
      <font>
        <b/>
        <i val="0"/>
        <condense val="0"/>
        <extend val="0"/>
      </font>
      <border>
        <top/>
        <bottom/>
      </border>
    </dxf>
    <dxf>
      <font>
        <condense val="0"/>
        <extend val="0"/>
        <color indexed="9"/>
      </font>
    </dxf>
    <dxf>
      <font>
        <b/>
        <i val="0"/>
        <condense val="0"/>
        <extend val="0"/>
      </font>
    </dxf>
    <dxf>
      <font>
        <condense val="0"/>
        <extend val="0"/>
        <color indexed="9"/>
      </font>
      <fill>
        <patternFill>
          <bgColor indexed="9"/>
        </patternFill>
      </fill>
    </dxf>
    <dxf>
      <font>
        <b/>
        <i val="0"/>
        <condense val="0"/>
        <extend val="0"/>
      </font>
    </dxf>
    <dxf>
      <font>
        <b/>
        <i val="0"/>
      </font>
    </dxf>
    <dxf>
      <font>
        <b/>
        <i val="0"/>
      </font>
    </dxf>
    <dxf>
      <fill>
        <patternFill>
          <bgColor indexed="52"/>
        </patternFill>
      </fill>
    </dxf>
    <dxf>
      <font>
        <b/>
        <i val="0"/>
      </font>
    </dxf>
    <dxf>
      <font>
        <b/>
        <i val="0"/>
      </font>
    </dxf>
    <dxf>
      <font>
        <b/>
        <i val="0"/>
      </font>
    </dxf>
    <dxf>
      <font>
        <b/>
        <i val="0"/>
        <condense val="0"/>
        <extend val="0"/>
      </font>
      <border>
        <top/>
        <bottom/>
      </border>
    </dxf>
    <dxf>
      <font>
        <b/>
        <i val="0"/>
        <condense val="0"/>
        <extend val="0"/>
      </font>
      <border>
        <top style="dashed">
          <color indexed="8"/>
        </top>
        <bottom style="thin">
          <color indexed="8"/>
        </bottom>
      </border>
    </dxf>
    <dxf>
      <fill>
        <patternFill>
          <bgColor indexed="51"/>
        </patternFill>
      </fill>
    </dxf>
    <dxf>
      <font>
        <condense val="0"/>
        <extend val="0"/>
        <color indexed="9"/>
      </font>
    </dxf>
    <dxf>
      <font>
        <b/>
        <i val="0"/>
        <condense val="0"/>
        <extend val="0"/>
      </font>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dxf>
    <dxf>
      <font>
        <condense val="0"/>
        <extend val="0"/>
        <color indexed="9"/>
      </font>
    </dxf>
    <dxf>
      <font>
        <b/>
        <i val="0"/>
        <condense val="0"/>
        <extend val="0"/>
      </font>
    </dxf>
    <dxf>
      <font>
        <b/>
        <i val="0"/>
        <condense val="0"/>
        <extend val="0"/>
      </font>
    </dxf>
    <dxf>
      <font>
        <b/>
        <i val="0"/>
      </font>
    </dxf>
    <dxf>
      <font>
        <b/>
        <i val="0"/>
      </font>
    </dxf>
    <dxf>
      <font>
        <b/>
        <i val="0"/>
        <condense val="0"/>
        <extend val="0"/>
      </font>
      <border>
        <top/>
        <bottom/>
      </border>
    </dxf>
    <dxf>
      <font>
        <condense val="0"/>
        <extend val="0"/>
        <color indexed="9"/>
      </font>
      <fill>
        <patternFill>
          <bgColor indexed="9"/>
        </patternFill>
      </fill>
    </dxf>
    <dxf>
      <font>
        <b/>
        <i val="0"/>
      </font>
    </dxf>
    <dxf>
      <fill>
        <patternFill>
          <bgColor indexed="9"/>
        </patternFill>
      </fill>
    </dxf>
    <dxf>
      <font>
        <condense val="0"/>
        <extend val="0"/>
        <color indexed="9"/>
      </font>
      <fill>
        <patternFill>
          <bgColor indexed="9"/>
        </patternFill>
      </fill>
    </dxf>
    <dxf>
      <fill>
        <patternFill>
          <bgColor indexed="51"/>
        </patternFill>
      </fill>
    </dxf>
    <dxf>
      <font>
        <condense val="0"/>
        <extend val="0"/>
        <color indexed="9"/>
      </font>
    </dxf>
    <dxf>
      <font>
        <b/>
        <i val="0"/>
        <condense val="0"/>
        <extend val="0"/>
      </font>
    </dxf>
    <dxf>
      <font>
        <b/>
        <i val="0"/>
        <condense val="0"/>
        <extend val="0"/>
      </font>
    </dxf>
    <dxf>
      <font>
        <b/>
        <i val="0"/>
      </font>
    </dxf>
    <dxf>
      <font>
        <b/>
        <i val="0"/>
      </font>
    </dxf>
    <dxf>
      <font>
        <b/>
        <i val="0"/>
        <condense val="0"/>
        <extend val="0"/>
      </font>
      <border>
        <top/>
        <bottom/>
      </border>
    </dxf>
    <dxf>
      <font>
        <condense val="0"/>
        <extend val="0"/>
        <color indexed="9"/>
      </font>
      <fill>
        <patternFill>
          <bgColor indexed="9"/>
        </patternFill>
      </fill>
    </dxf>
    <dxf>
      <font>
        <b/>
        <i val="0"/>
      </font>
    </dxf>
    <dxf>
      <font>
        <b/>
        <i val="0"/>
      </font>
    </dxf>
    <dxf>
      <font>
        <b/>
        <i val="0"/>
      </font>
    </dxf>
    <dxf>
      <font>
        <b/>
        <i val="0"/>
        <condense val="0"/>
        <extend val="0"/>
      </font>
      <border>
        <top/>
        <bottom/>
      </border>
    </dxf>
    <dxf>
      <font>
        <b/>
        <i val="0"/>
        <condense val="0"/>
        <extend val="0"/>
      </font>
      <border>
        <top style="dashed">
          <color indexed="8"/>
        </top>
        <bottom style="thin">
          <color indexed="8"/>
        </bottom>
      </border>
    </dxf>
    <dxf>
      <font>
        <condense val="0"/>
        <extend val="0"/>
        <color indexed="9"/>
      </font>
      <fill>
        <patternFill>
          <bgColor indexed="9"/>
        </patternFill>
      </fill>
    </dxf>
    <dxf>
      <font>
        <condense val="0"/>
        <extend val="0"/>
        <color indexed="9"/>
      </font>
    </dxf>
    <dxf>
      <font>
        <condense val="0"/>
        <extend val="0"/>
        <color indexed="9"/>
      </font>
    </dxf>
    <dxf>
      <font>
        <b/>
        <i val="0"/>
        <condense val="0"/>
        <extend val="0"/>
      </font>
      <border>
        <bottom style="thin">
          <color indexed="64"/>
        </bottom>
      </border>
    </dxf>
    <dxf>
      <font>
        <color rgb="FFFF0000"/>
      </font>
    </dxf>
    <dxf>
      <font>
        <color rgb="FFFF0000"/>
      </font>
    </dxf>
    <dxf>
      <font>
        <b/>
        <i val="0"/>
        <condense val="0"/>
        <extend val="0"/>
        <color auto="1"/>
      </font>
      <border>
        <top/>
        <bottom style="thin">
          <color indexed="64"/>
        </bottom>
      </border>
    </dxf>
    <dxf>
      <font>
        <b/>
        <i val="0"/>
        <condense val="0"/>
        <extend val="0"/>
      </font>
      <border>
        <bottom style="thin">
          <color indexed="64"/>
        </bottom>
      </border>
    </dxf>
    <dxf>
      <font>
        <b/>
        <i val="0"/>
        <condense val="0"/>
        <extend val="0"/>
      </font>
      <border>
        <top style="dashed">
          <color indexed="64"/>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bottom style="thin">
          <color indexed="64"/>
        </bottom>
      </border>
    </dxf>
    <dxf>
      <font>
        <b/>
        <i val="0"/>
        <condense val="0"/>
        <extend val="0"/>
      </font>
      <border>
        <bottom style="thin">
          <color indexed="64"/>
        </bottom>
      </border>
    </dxf>
    <dxf>
      <font>
        <b/>
        <i val="0"/>
        <condense val="0"/>
        <extend val="0"/>
      </font>
      <border>
        <top style="dashed">
          <color indexed="64"/>
        </top>
        <bottom style="thin">
          <color indexed="64"/>
        </bottom>
      </border>
    </dxf>
    <dxf>
      <font>
        <b/>
        <i val="0"/>
        <condense val="0"/>
        <extend val="0"/>
      </font>
      <border>
        <bottom style="thin">
          <color indexed="64"/>
        </bottom>
      </border>
    </dxf>
    <dxf>
      <font>
        <b/>
        <i val="0"/>
        <condense val="0"/>
        <extend val="0"/>
        <color auto="1"/>
      </font>
      <border>
        <bottom style="thin">
          <color indexed="64"/>
        </bottom>
      </border>
    </dxf>
    <dxf>
      <font>
        <b/>
        <i val="0"/>
        <condense val="0"/>
        <extend val="0"/>
      </font>
      <border>
        <bottom style="thin">
          <color indexed="64"/>
        </bottom>
      </border>
    </dxf>
    <dxf>
      <font>
        <b/>
        <i val="0"/>
        <condense val="0"/>
        <extend val="0"/>
      </font>
      <border>
        <top style="dashed">
          <color indexed="64"/>
        </top>
        <bottom style="thin">
          <color indexed="64"/>
        </bottom>
      </border>
    </dxf>
    <dxf>
      <font>
        <condense val="0"/>
        <extend val="0"/>
        <color indexed="9"/>
      </font>
      <border>
        <bottom style="thin">
          <color indexed="64"/>
        </bottom>
      </border>
    </dxf>
    <dxf>
      <border>
        <top/>
        <bottom style="thin">
          <color indexed="64"/>
        </bottom>
      </border>
    </dxf>
    <dxf>
      <font>
        <condense val="0"/>
        <extend val="0"/>
        <color indexed="9"/>
      </font>
      <border>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top/>
        <bottom style="thin">
          <color indexed="64"/>
        </bottom>
      </border>
    </dxf>
    <dxf>
      <font>
        <condense val="0"/>
        <extend val="0"/>
        <color indexed="9"/>
      </font>
    </dxf>
    <dxf>
      <font>
        <condense val="0"/>
        <extend val="0"/>
        <color indexed="9"/>
      </font>
    </dxf>
    <dxf>
      <font>
        <condense val="0"/>
        <extend val="0"/>
        <color indexed="9"/>
      </font>
      <border>
        <bottom style="thin">
          <color indexed="64"/>
        </bottom>
      </border>
    </dxf>
    <dxf>
      <border>
        <top/>
        <bottom style="thin">
          <color indexed="64"/>
        </bottom>
      </border>
    </dxf>
    <dxf>
      <font>
        <condense val="0"/>
        <extend val="0"/>
        <color indexed="9"/>
      </font>
      <border>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top/>
        <bottom style="thin">
          <color indexed="64"/>
        </bottom>
      </border>
    </dxf>
    <dxf>
      <font>
        <condense val="0"/>
        <extend val="0"/>
        <color indexed="9"/>
      </font>
    </dxf>
    <dxf>
      <font>
        <condense val="0"/>
        <extend val="0"/>
        <color indexed="9"/>
      </font>
    </dxf>
    <dxf>
      <font>
        <condense val="0"/>
        <extend val="0"/>
        <color indexed="9"/>
      </font>
      <border>
        <bottom style="thin">
          <color indexed="64"/>
        </bottom>
      </border>
    </dxf>
    <dxf>
      <border>
        <top/>
        <bottom style="thin">
          <color indexed="64"/>
        </bottom>
      </border>
    </dxf>
    <dxf>
      <font>
        <condense val="0"/>
        <extend val="0"/>
        <color indexed="9"/>
      </font>
      <border>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top/>
        <bottom style="thin">
          <color indexed="64"/>
        </bottom>
      </border>
    </dxf>
    <dxf>
      <font>
        <condense val="0"/>
        <extend val="0"/>
        <color indexed="9"/>
      </font>
    </dxf>
    <dxf>
      <font>
        <condense val="0"/>
        <extend val="0"/>
        <color indexed="9"/>
      </font>
    </dxf>
    <dxf>
      <font>
        <condense val="0"/>
        <extend val="0"/>
        <color auto="1"/>
      </font>
      <fill>
        <patternFill>
          <bgColor indexed="52"/>
        </patternFill>
      </fill>
    </dxf>
    <dxf>
      <font>
        <condense val="0"/>
        <extend val="0"/>
        <color indexed="9"/>
      </font>
      <border>
        <bottom style="thin">
          <color indexed="64"/>
        </bottom>
      </border>
    </dxf>
    <dxf>
      <border>
        <top/>
        <bottom style="thin">
          <color indexed="64"/>
        </bottom>
      </border>
    </dxf>
    <dxf>
      <font>
        <condense val="0"/>
        <extend val="0"/>
        <color indexed="9"/>
      </font>
      <border>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top/>
        <bottom style="thin">
          <color indexed="64"/>
        </bottom>
      </border>
    </dxf>
    <dxf>
      <font>
        <condense val="0"/>
        <extend val="0"/>
        <color indexed="9"/>
      </font>
    </dxf>
    <dxf>
      <font>
        <condense val="0"/>
        <extend val="0"/>
        <color indexed="9"/>
      </font>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border>
        <bottom style="thin">
          <color indexed="64"/>
        </bottom>
      </border>
    </dxf>
    <dxf>
      <border>
        <bottom style="thin">
          <color indexed="64"/>
        </bottom>
      </border>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border>
        <bottom style="thin">
          <color indexed="64"/>
        </bottom>
      </border>
    </dxf>
    <dxf>
      <border>
        <bottom style="thin">
          <color indexed="64"/>
        </bottom>
      </border>
    </dxf>
    <dxf>
      <font>
        <condense val="0"/>
        <extend val="0"/>
        <color auto="1"/>
      </font>
      <fill>
        <patternFill>
          <bgColor indexed="52"/>
        </patternFill>
      </fill>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border>
        <bottom style="thin">
          <color indexed="64"/>
        </bottom>
      </border>
    </dxf>
    <dxf>
      <border>
        <bottom style="thin">
          <color indexed="64"/>
        </bottom>
      </border>
    </dxf>
    <dxf>
      <font>
        <condense val="0"/>
        <extend val="0"/>
        <color indexed="9"/>
      </font>
    </dxf>
    <dxf>
      <font>
        <b/>
        <i val="0"/>
        <condense val="0"/>
        <extend val="0"/>
      </font>
      <border>
        <top style="dashed">
          <color indexed="64"/>
        </top>
        <bottom style="thin">
          <color indexed="64"/>
        </bottom>
      </border>
    </dxf>
    <dxf>
      <font>
        <b/>
        <i val="0"/>
        <condense val="0"/>
        <extend val="0"/>
      </font>
      <border>
        <top style="dashed">
          <color indexed="64"/>
        </top>
        <bottom style="thin">
          <color indexed="64"/>
        </bottom>
      </border>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b/>
        <i val="0"/>
        <condense val="0"/>
        <extend val="0"/>
      </font>
      <border>
        <top style="dashed">
          <color indexed="64"/>
        </top>
        <bottom style="thin">
          <color indexed="64"/>
        </bottom>
      </border>
    </dxf>
    <dxf>
      <font>
        <b/>
        <i val="0"/>
        <condense val="0"/>
        <extend val="0"/>
      </font>
      <border>
        <top style="dashed">
          <color indexed="64"/>
        </top>
        <bottom style="thin">
          <color indexed="64"/>
        </bottom>
      </border>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b/>
        <i val="0"/>
        <condense val="0"/>
        <extend val="0"/>
      </font>
      <border>
        <top style="dashed">
          <color indexed="64"/>
        </top>
        <bottom style="thin">
          <color indexed="64"/>
        </bottom>
      </border>
    </dxf>
    <dxf>
      <font>
        <b/>
        <i val="0"/>
        <condense val="0"/>
        <extend val="0"/>
      </font>
      <border>
        <top style="dashed">
          <color indexed="64"/>
        </top>
        <bottom style="thin">
          <color indexed="64"/>
        </bottom>
      </border>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
      <font>
        <b/>
        <i val="0"/>
        <condense val="0"/>
        <extend val="0"/>
      </font>
      <border>
        <top style="dashed">
          <color indexed="64"/>
        </top>
        <bottom style="thin">
          <color indexed="64"/>
        </bottom>
      </border>
    </dxf>
    <dxf>
      <font>
        <condense val="0"/>
        <extend val="0"/>
        <color indexed="9"/>
      </font>
    </dxf>
    <dxf>
      <fill>
        <patternFill>
          <bgColor indexed="10"/>
        </patternFill>
      </fill>
    </dxf>
    <dxf>
      <font>
        <color rgb="FFFF0000"/>
      </font>
    </dxf>
    <dxf>
      <fill>
        <patternFill>
          <bgColor indexed="51"/>
        </patternFill>
      </fill>
    </dxf>
    <dxf>
      <font>
        <b/>
        <i val="0"/>
        <condense val="0"/>
        <extend val="0"/>
      </font>
      <fill>
        <patternFill>
          <bgColor indexed="10"/>
        </patternFill>
      </fill>
    </dxf>
    <dxf>
      <fill>
        <patternFill>
          <bgColor indexed="52"/>
        </patternFill>
      </fill>
    </dxf>
    <dxf>
      <fill>
        <patternFill>
          <bgColor indexed="10"/>
        </patternFill>
      </fill>
    </dxf>
    <dxf>
      <fill>
        <patternFill>
          <bgColor indexed="52"/>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ereinsbuchhaltung.ch/buchhaltung-wieder-eroeffnen" TargetMode="External"/><Relationship Id="rId13" Type="http://schemas.openxmlformats.org/officeDocument/2006/relationships/hyperlink" Target="https://www.vereinsbuchhaltung.ch/offen-posten-methode" TargetMode="External"/><Relationship Id="rId18" Type="http://schemas.openxmlformats.org/officeDocument/2006/relationships/hyperlink" Target="https://www.vereinsbuchhaltung.ch/preise-versand" TargetMode="External"/><Relationship Id="rId3" Type="http://schemas.openxmlformats.org/officeDocument/2006/relationships/hyperlink" Target="https://www.vereinsbuchhaltung.ch/kontenplan-erstellen" TargetMode="External"/><Relationship Id="rId7" Type="http://schemas.openxmlformats.org/officeDocument/2006/relationships/hyperlink" Target="https://www.vereinsbuchhaltung.ch/buchhaltung-eroeffnen" TargetMode="External"/><Relationship Id="rId12" Type="http://schemas.openxmlformats.org/officeDocument/2006/relationships/hyperlink" Target="https://www.vereinsbuchhaltung.ch/projekt-mannschaftsabrechnung" TargetMode="External"/><Relationship Id="rId17" Type="http://schemas.openxmlformats.org/officeDocument/2006/relationships/hyperlink" Target="https://www.vereinsbuchhaltung.ch/kontenplan-erstellen" TargetMode="External"/><Relationship Id="rId2" Type="http://schemas.openxmlformats.org/officeDocument/2006/relationships/hyperlink" Target="https://www.vereinsbuchhaltung.ch/konto-im-kontenplan-loeschen" TargetMode="External"/><Relationship Id="rId16" Type="http://schemas.openxmlformats.org/officeDocument/2006/relationships/hyperlink" Target="https://www.vereinsbuchhaltung.ch/cloud-buchhaltung-oder-cloud-speich" TargetMode="External"/><Relationship Id="rId1" Type="http://schemas.openxmlformats.org/officeDocument/2006/relationships/hyperlink" Target="https://www.vereinsbuchhaltung.ch/softwaredownloads" TargetMode="External"/><Relationship Id="rId6" Type="http://schemas.openxmlformats.org/officeDocument/2006/relationships/hyperlink" Target="https://www.vereinsbuchhaltung.ch/vorhandenes-konto-aendern" TargetMode="External"/><Relationship Id="rId11" Type="http://schemas.openxmlformats.org/officeDocument/2006/relationships/hyperlink" Target="https://www.vereinsbuchhaltung.ch/revision-von-vereinen" TargetMode="External"/><Relationship Id="rId5" Type="http://schemas.openxmlformats.org/officeDocument/2006/relationships/hyperlink" Target="https://www.vereinsbuchhaltung.ch/konto-im-kontenplan-einfuegen" TargetMode="External"/><Relationship Id="rId15" Type="http://schemas.openxmlformats.org/officeDocument/2006/relationships/hyperlink" Target="http://www.buechhaltig.ch/" TargetMode="External"/><Relationship Id="rId10" Type="http://schemas.openxmlformats.org/officeDocument/2006/relationships/hyperlink" Target="https://www.vereinsbuchhaltung.ch/buchhaltungsabschluss-uebersicht" TargetMode="External"/><Relationship Id="rId19" Type="http://schemas.openxmlformats.org/officeDocument/2006/relationships/printerSettings" Target="../printerSettings/printerSettings1.bin"/><Relationship Id="rId4" Type="http://schemas.openxmlformats.org/officeDocument/2006/relationships/hyperlink" Target="https://www.vereinsbuchhaltung.ch/kontenplan-anpassen" TargetMode="External"/><Relationship Id="rId9" Type="http://schemas.openxmlformats.org/officeDocument/2006/relationships/hyperlink" Target="https://www.vereinsbuchhaltung.ch/wichtiges-zu-buchungssaetzen" TargetMode="External"/><Relationship Id="rId14" Type="http://schemas.openxmlformats.org/officeDocument/2006/relationships/hyperlink" Target="https://www.vereinsbuchhaltung.ch/erweiterung-buchhaltungssoftwa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einsbuchhaltung.ch/bestellformular/" TargetMode="External"/><Relationship Id="rId1" Type="http://schemas.openxmlformats.org/officeDocument/2006/relationships/hyperlink" Target="https://www.vereinsbuchhaltung.ch/referenze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workbookViewId="0"/>
  </sheetViews>
  <sheetFormatPr defaultColWidth="11.42578125" defaultRowHeight="12.75"/>
  <cols>
    <col min="1" max="1" width="90.7109375" customWidth="1"/>
    <col min="2" max="2" width="2.28515625" style="193" customWidth="1"/>
    <col min="3" max="4" width="4" customWidth="1"/>
    <col min="5" max="5" width="81.42578125" customWidth="1"/>
  </cols>
  <sheetData>
    <row r="1" spans="1:5" ht="27" customHeight="1">
      <c r="A1" s="154" t="s">
        <v>0</v>
      </c>
      <c r="C1" s="154" t="s">
        <v>1</v>
      </c>
    </row>
    <row r="2" spans="1:5" ht="38.25" customHeight="1">
      <c r="A2" s="205"/>
      <c r="C2" t="s">
        <v>2</v>
      </c>
    </row>
    <row r="3" spans="1:5" ht="26.25" customHeight="1">
      <c r="A3" s="201" t="s">
        <v>3</v>
      </c>
      <c r="C3" s="247" t="s">
        <v>4</v>
      </c>
      <c r="D3" s="247"/>
      <c r="E3" s="247"/>
    </row>
    <row r="4" spans="1:5" ht="18" customHeight="1"/>
    <row r="5" spans="1:5">
      <c r="A5" s="153" t="s">
        <v>5</v>
      </c>
      <c r="B5" s="194"/>
      <c r="C5" s="153" t="s">
        <v>6</v>
      </c>
    </row>
    <row r="6" spans="1:5">
      <c r="C6" s="153"/>
      <c r="D6" t="s">
        <v>7</v>
      </c>
    </row>
    <row r="7" spans="1:5">
      <c r="A7" t="s">
        <v>8</v>
      </c>
      <c r="B7" s="206"/>
      <c r="C7" s="153"/>
      <c r="E7" s="185" t="s">
        <v>9</v>
      </c>
    </row>
    <row r="8" spans="1:5">
      <c r="A8" t="s">
        <v>10</v>
      </c>
      <c r="C8" s="153"/>
      <c r="D8" t="s">
        <v>11</v>
      </c>
    </row>
    <row r="9" spans="1:5">
      <c r="A9" t="s">
        <v>12</v>
      </c>
      <c r="B9" s="206"/>
      <c r="C9" s="153"/>
      <c r="E9" s="155" t="s">
        <v>13</v>
      </c>
    </row>
    <row r="10" spans="1:5">
      <c r="A10" s="200" t="s">
        <v>14</v>
      </c>
      <c r="B10" s="206"/>
      <c r="C10" s="153"/>
      <c r="D10" t="s">
        <v>15</v>
      </c>
    </row>
    <row r="11" spans="1:5">
      <c r="A11" t="s">
        <v>16</v>
      </c>
      <c r="B11" s="206"/>
      <c r="C11" s="153"/>
      <c r="E11" s="155" t="s">
        <v>17</v>
      </c>
    </row>
    <row r="12" spans="1:5">
      <c r="A12" s="200" t="s">
        <v>18</v>
      </c>
      <c r="B12" s="206"/>
      <c r="C12" s="153"/>
      <c r="D12" t="s">
        <v>19</v>
      </c>
    </row>
    <row r="13" spans="1:5">
      <c r="A13" s="199" t="s">
        <v>20</v>
      </c>
      <c r="B13" s="206"/>
      <c r="C13" s="153"/>
      <c r="E13" s="155" t="s">
        <v>21</v>
      </c>
    </row>
    <row r="14" spans="1:5">
      <c r="A14" s="200" t="s">
        <v>22</v>
      </c>
      <c r="B14" s="206"/>
      <c r="C14" s="153"/>
      <c r="D14" t="s">
        <v>23</v>
      </c>
    </row>
    <row r="15" spans="1:5">
      <c r="A15" s="200" t="s">
        <v>24</v>
      </c>
      <c r="B15" s="206"/>
      <c r="C15" s="153"/>
      <c r="E15" s="155" t="s">
        <v>25</v>
      </c>
    </row>
    <row r="16" spans="1:5">
      <c r="A16" s="200" t="s">
        <v>26</v>
      </c>
      <c r="B16" s="206"/>
      <c r="C16" s="153"/>
      <c r="D16" t="s">
        <v>27</v>
      </c>
    </row>
    <row r="17" spans="1:5">
      <c r="A17" s="200" t="s">
        <v>28</v>
      </c>
      <c r="B17" s="206"/>
      <c r="C17" s="153"/>
      <c r="E17" s="155" t="s">
        <v>29</v>
      </c>
    </row>
    <row r="18" spans="1:5">
      <c r="A18" s="200" t="s">
        <v>30</v>
      </c>
      <c r="B18" s="206"/>
      <c r="C18" s="153" t="s">
        <v>31</v>
      </c>
      <c r="E18" s="155"/>
    </row>
    <row r="19" spans="1:5">
      <c r="A19" s="200" t="s">
        <v>32</v>
      </c>
      <c r="B19" s="206"/>
      <c r="C19" s="153"/>
      <c r="D19" t="s">
        <v>33</v>
      </c>
    </row>
    <row r="20" spans="1:5">
      <c r="A20" s="200" t="s">
        <v>34</v>
      </c>
      <c r="B20" s="206"/>
      <c r="C20" s="153"/>
      <c r="E20" s="155" t="s">
        <v>35</v>
      </c>
    </row>
    <row r="21" spans="1:5">
      <c r="A21" s="200" t="s">
        <v>36</v>
      </c>
      <c r="C21" s="153"/>
      <c r="D21" t="s">
        <v>37</v>
      </c>
    </row>
    <row r="22" spans="1:5">
      <c r="A22" s="200" t="s">
        <v>38</v>
      </c>
      <c r="C22" s="153"/>
      <c r="E22" s="155" t="s">
        <v>39</v>
      </c>
    </row>
    <row r="23" spans="1:5">
      <c r="A23" s="200" t="s">
        <v>40</v>
      </c>
      <c r="C23" s="153"/>
      <c r="D23" t="s">
        <v>41</v>
      </c>
    </row>
    <row r="24" spans="1:5">
      <c r="A24" s="200" t="s">
        <v>42</v>
      </c>
      <c r="C24" s="153"/>
      <c r="E24" s="155" t="s">
        <v>43</v>
      </c>
    </row>
    <row r="25" spans="1:5">
      <c r="A25" s="200" t="s">
        <v>44</v>
      </c>
      <c r="C25" s="153" t="s">
        <v>45</v>
      </c>
    </row>
    <row r="26" spans="1:5">
      <c r="A26" s="200" t="s">
        <v>46</v>
      </c>
      <c r="C26" s="153"/>
      <c r="D26" t="s">
        <v>47</v>
      </c>
    </row>
    <row r="27" spans="1:5">
      <c r="A27" s="200" t="s">
        <v>48</v>
      </c>
      <c r="E27" s="155" t="s">
        <v>49</v>
      </c>
    </row>
    <row r="28" spans="1:5">
      <c r="A28" s="155" t="s">
        <v>50</v>
      </c>
      <c r="D28" t="s">
        <v>51</v>
      </c>
    </row>
    <row r="29" spans="1:5">
      <c r="E29" s="155" t="s">
        <v>52</v>
      </c>
    </row>
    <row r="30" spans="1:5">
      <c r="C30" s="153" t="s">
        <v>53</v>
      </c>
    </row>
    <row r="31" spans="1:5">
      <c r="D31" s="200" t="s">
        <v>54</v>
      </c>
    </row>
    <row r="32" spans="1:5">
      <c r="E32" s="155" t="s">
        <v>55</v>
      </c>
    </row>
    <row r="33" spans="3:5">
      <c r="C33" s="153" t="s">
        <v>56</v>
      </c>
      <c r="E33" s="155"/>
    </row>
    <row r="34" spans="3:5">
      <c r="C34" s="153"/>
      <c r="D34" t="s">
        <v>57</v>
      </c>
    </row>
    <row r="35" spans="3:5">
      <c r="C35" s="153"/>
      <c r="E35" s="155" t="s">
        <v>58</v>
      </c>
    </row>
    <row r="36" spans="3:5">
      <c r="C36" s="153"/>
      <c r="D36" t="s">
        <v>59</v>
      </c>
    </row>
    <row r="37" spans="3:5">
      <c r="C37" s="153"/>
      <c r="E37" s="155" t="s">
        <v>60</v>
      </c>
    </row>
    <row r="38" spans="3:5">
      <c r="C38" s="153"/>
      <c r="D38" t="s">
        <v>57</v>
      </c>
    </row>
    <row r="39" spans="3:5">
      <c r="C39" s="153"/>
      <c r="E39" s="155" t="s">
        <v>61</v>
      </c>
    </row>
    <row r="40" spans="3:5">
      <c r="C40" s="153"/>
      <c r="D40" t="s">
        <v>62</v>
      </c>
    </row>
    <row r="41" spans="3:5">
      <c r="C41" s="153"/>
      <c r="E41" s="155" t="s">
        <v>63</v>
      </c>
    </row>
  </sheetData>
  <sheetProtection sheet="1" objects="1" scenarios="1"/>
  <mergeCells count="1">
    <mergeCell ref="C3:E3"/>
  </mergeCells>
  <hyperlinks>
    <hyperlink ref="E7" r:id="rId1" xr:uid="{00000000-0004-0000-0000-000000000000}"/>
    <hyperlink ref="E17" r:id="rId2" xr:uid="{00000000-0004-0000-0000-000001000000}"/>
    <hyperlink ref="E9" r:id="rId3" xr:uid="{00000000-0004-0000-0000-000002000000}"/>
    <hyperlink ref="E11" r:id="rId4" xr:uid="{00000000-0004-0000-0000-000003000000}"/>
    <hyperlink ref="E13" r:id="rId5" xr:uid="{00000000-0004-0000-0000-000004000000}"/>
    <hyperlink ref="E15" r:id="rId6" xr:uid="{00000000-0004-0000-0000-000005000000}"/>
    <hyperlink ref="E20" r:id="rId7" xr:uid="{00000000-0004-0000-0000-000006000000}"/>
    <hyperlink ref="E22" r:id="rId8" xr:uid="{00000000-0004-0000-0000-000007000000}"/>
    <hyperlink ref="E24" r:id="rId9" xr:uid="{00000000-0004-0000-0000-000008000000}"/>
    <hyperlink ref="E27" r:id="rId10" xr:uid="{00000000-0004-0000-0000-000009000000}"/>
    <hyperlink ref="E29" r:id="rId11" xr:uid="{00000000-0004-0000-0000-00000A000000}"/>
    <hyperlink ref="E32" r:id="rId12" xr:uid="{00000000-0004-0000-0000-00000B000000}"/>
    <hyperlink ref="E35" r:id="rId13" xr:uid="{00000000-0004-0000-0000-00000C000000}"/>
    <hyperlink ref="E37" r:id="rId14" xr:uid="{00000000-0004-0000-0000-00000D000000}"/>
    <hyperlink ref="E39" r:id="rId15" xr:uid="{00000000-0004-0000-0000-00000E000000}"/>
    <hyperlink ref="E41" r:id="rId16" xr:uid="{00000000-0004-0000-0000-00000F000000}"/>
    <hyperlink ref="A13" r:id="rId17" xr:uid="{00000000-0004-0000-0000-000010000000}"/>
    <hyperlink ref="A28" r:id="rId18" xr:uid="{00000000-0004-0000-0000-000011000000}"/>
  </hyperlinks>
  <pageMargins left="0.7" right="0.7" top="0.78740157499999996" bottom="0.78740157499999996" header="0.3" footer="0.3"/>
  <pageSetup paperSize="9" scale="95" orientation="portrait" horizontalDpi="0" verticalDpi="0" r:id="rId19"/>
  <headerFooter>
    <oddFooter>&amp;L&amp;8Ausdruck vom &amp;D, &amp;T&amp;C&amp;8vereinsbuchhaltung.ch&amp;R&amp;8Seite &amp;P von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R91"/>
  <sheetViews>
    <sheetView topLeftCell="B1" workbookViewId="0">
      <pane ySplit="7" topLeftCell="B8" activePane="bottomLeft" state="frozen"/>
      <selection pane="bottomLeft" activeCell="B2" sqref="B2:D2"/>
      <selection activeCell="B1" sqref="B1"/>
    </sheetView>
  </sheetViews>
  <sheetFormatPr defaultColWidth="11.42578125" defaultRowHeight="12.75"/>
  <cols>
    <col min="1" max="1" width="11.42578125" hidden="1" customWidth="1"/>
    <col min="2" max="2" width="6.5703125" customWidth="1"/>
    <col min="3" max="3" width="9.5703125" customWidth="1"/>
    <col min="4" max="4" width="42.7109375" customWidth="1"/>
    <col min="5" max="6" width="20.5703125" customWidth="1"/>
    <col min="7" max="8" width="11.28515625" customWidth="1"/>
    <col min="9" max="9" width="16.28515625" customWidth="1"/>
    <col min="10" max="10" width="7.140625" hidden="1" customWidth="1"/>
    <col min="11" max="11" width="15.140625" hidden="1" customWidth="1"/>
    <col min="12" max="14" width="14.85546875" hidden="1" customWidth="1"/>
    <col min="15" max="16" width="11.42578125" hidden="1" customWidth="1"/>
    <col min="17" max="17" width="12" hidden="1" customWidth="1"/>
    <col min="18" max="18" width="11.42578125" hidden="1" customWidth="1"/>
    <col min="19" max="26" width="11.42578125" customWidth="1"/>
  </cols>
  <sheetData>
    <row r="1" spans="1:18" ht="13.5" thickBot="1">
      <c r="B1" s="309" t="s">
        <v>296</v>
      </c>
      <c r="C1" s="310"/>
      <c r="D1" s="310"/>
      <c r="E1" s="310"/>
      <c r="F1" s="166">
        <v>3000</v>
      </c>
    </row>
    <row r="2" spans="1:18" ht="108" customHeight="1" thickBot="1">
      <c r="A2" s="200"/>
      <c r="B2" s="311" t="str">
        <f>IF(B41&lt;&gt;"",P2,IF(AND(Journal!F7&lt;&gt;"",B8="Total"),"Sollten in der Projekabrechnung Buchungen fehlen, prüfen Sie bitte die im hellgelben Feld nebenan eingegebene Nummer. Sind auf diese korrekte Projektnummer bereits Buchungen erfolgt, prüfen Sie bitte im Journal, ob jeder Buchungssatz ein Datum hat.","Diese Projektabrechnung können Sie problemlos ausdrucken. 
Hinweis: Es werden lediglich Aufwände und Erträge betragsmässig berücksichtigt."))</f>
        <v>Sollten in der Projekabrechnung Buchungen fehlen, prüfen Sie bitte die im hellgelben Feld nebenan eingegebene Nummer. Sind auf diese korrekte Projektnummer bereits Buchungen erfolgt, prüfen Sie bitte im Journal, ob jeder Buchungssatz ein Datum hat.</v>
      </c>
      <c r="C2" s="311"/>
      <c r="D2" s="311"/>
      <c r="E2" s="90" t="s">
        <v>297</v>
      </c>
      <c r="F2" s="80">
        <v>1</v>
      </c>
      <c r="G2" s="240" t="str">
        <f>VLOOKUP(F2,Projektliste!C4:E119,2)</f>
        <v>Partei 1</v>
      </c>
      <c r="H2" s="81"/>
      <c r="I2" s="241"/>
      <c r="J2" s="200"/>
      <c r="K2" s="200"/>
      <c r="L2" s="165"/>
      <c r="M2" s="165"/>
      <c r="N2" s="165"/>
      <c r="O2" s="200"/>
      <c r="P2" s="200" t="s">
        <v>298</v>
      </c>
      <c r="Q2" s="200"/>
      <c r="R2" s="200"/>
    </row>
    <row r="3" spans="1:18" s="13" customFormat="1" ht="15" customHeight="1" thickBot="1">
      <c r="B3" s="112" t="str">
        <f>Calc!J2</f>
        <v>Hier STWEG-Namen eingeben</v>
      </c>
      <c r="C3" s="113"/>
      <c r="D3" s="113"/>
      <c r="E3" s="114" t="str">
        <f>CONCATENATE("Abrechnung für Projekt ",G2)</f>
        <v>Abrechnung für Projekt Partei 1</v>
      </c>
      <c r="F3" s="113"/>
      <c r="G3" s="115"/>
      <c r="H3" s="115"/>
      <c r="I3" s="116" t="str">
        <f>CONCATENATE("Geschäftsjahr ",Journal!D2)</f>
        <v>Geschäftsjahr 20xx</v>
      </c>
      <c r="P3" s="13" t="str">
        <f>CONCATENATE(F2,": ",G2)</f>
        <v>1: Partei 1</v>
      </c>
    </row>
    <row r="4" spans="1:18" ht="30.75" customHeight="1">
      <c r="A4" s="200"/>
      <c r="B4" s="312" t="str">
        <f>IF(AND(Projektliste!C4="",Projektliste!D4=""),"Bitte Projektliste (korrekt) erstellen",IF(F2="","Bitte gültige Projektnummer im hellgelben Feld oben eingeben. Die #NV-Zeichen werden dann verschwinden",IF(AND(B8="Total",F2=P4),CONCATENATE("Keine Buchungen vorhanden für Projekt ",F2,": ",G2),IF(F2=P4,CONCATENATE(F2,": ",G2),CONCATENATE("Bitte Eingabe im hellgelben Feld oben prüfen. Die Projektnummer ",F2," existiert nicht in der Projektliste")))))</f>
        <v>Keine Buchungen vorhanden für Projekt 1: Partei 1</v>
      </c>
      <c r="C4" s="312"/>
      <c r="D4" s="312"/>
      <c r="E4" s="312"/>
      <c r="F4" s="312"/>
      <c r="G4" s="312"/>
      <c r="H4" s="312"/>
      <c r="I4" s="312"/>
      <c r="J4" s="200"/>
      <c r="K4" s="200"/>
      <c r="L4" s="200"/>
      <c r="M4" s="200"/>
      <c r="N4" s="200"/>
      <c r="O4" s="200"/>
      <c r="P4" s="200">
        <f>VLOOKUP(F2,Projektliste!T4:T195,1)</f>
        <v>1</v>
      </c>
      <c r="Q4" s="200"/>
      <c r="R4" s="200"/>
    </row>
    <row r="5" spans="1:18" ht="15.75" customHeight="1">
      <c r="A5" s="200" t="s">
        <v>275</v>
      </c>
      <c r="B5" s="203" t="s">
        <v>275</v>
      </c>
      <c r="C5" s="203" t="s">
        <v>177</v>
      </c>
      <c r="D5" s="203" t="s">
        <v>181</v>
      </c>
      <c r="E5" s="302" t="s">
        <v>178</v>
      </c>
      <c r="F5" s="302"/>
      <c r="G5" s="302" t="s">
        <v>180</v>
      </c>
      <c r="H5" s="302"/>
      <c r="I5" s="203" t="s">
        <v>283</v>
      </c>
      <c r="J5" s="84"/>
      <c r="K5" s="84"/>
      <c r="L5" s="205"/>
      <c r="M5" s="205"/>
      <c r="N5" s="205"/>
      <c r="O5" s="200"/>
      <c r="P5" s="200"/>
      <c r="Q5" s="200"/>
      <c r="R5" s="200"/>
    </row>
    <row r="6" spans="1:18">
      <c r="A6" s="200"/>
      <c r="B6" s="101"/>
      <c r="C6" s="101"/>
      <c r="D6" s="101"/>
      <c r="E6" s="129" t="s">
        <v>186</v>
      </c>
      <c r="F6" s="129" t="s">
        <v>187</v>
      </c>
      <c r="G6" s="130" t="s">
        <v>299</v>
      </c>
      <c r="H6" s="130" t="s">
        <v>300</v>
      </c>
      <c r="I6" s="102"/>
      <c r="J6" s="205"/>
      <c r="K6" s="205" t="s">
        <v>301</v>
      </c>
      <c r="L6" s="205" t="s">
        <v>302</v>
      </c>
      <c r="M6" s="242" t="s">
        <v>299</v>
      </c>
      <c r="N6" s="242" t="s">
        <v>300</v>
      </c>
      <c r="O6" s="200"/>
      <c r="P6" s="200"/>
      <c r="Q6" s="200"/>
      <c r="R6" s="200"/>
    </row>
    <row r="7" spans="1:18" ht="4.5" customHeight="1">
      <c r="A7" s="200"/>
      <c r="B7" s="101"/>
      <c r="C7" s="103"/>
      <c r="D7" s="101"/>
      <c r="E7" s="101"/>
      <c r="F7" s="101"/>
      <c r="G7" s="104"/>
      <c r="H7" s="104"/>
      <c r="I7" s="104"/>
      <c r="J7" s="205"/>
      <c r="K7" s="205"/>
      <c r="L7" s="205"/>
      <c r="M7" s="205"/>
      <c r="N7" s="205"/>
      <c r="O7" s="200"/>
      <c r="P7" s="200"/>
      <c r="Q7" s="200"/>
      <c r="R7" s="200"/>
    </row>
    <row r="8" spans="1:18">
      <c r="A8" s="200">
        <v>1</v>
      </c>
      <c r="B8" s="105" t="str">
        <f>IF(F2&lt;&gt;P4,"",IF(VLOOKUP(A8,Journal!$C$7:$E$83,3)=0,"Total",VLOOKUP(A8,Journal!$C$7:$D$83,2)))</f>
        <v>Total</v>
      </c>
      <c r="C8" s="103">
        <f>IF(B8="","",VLOOKUP(A8,Journal!$C$7:$E$83,3))</f>
        <v>0</v>
      </c>
      <c r="D8" s="106">
        <f>IF(B8="","",VLOOKUP(A8,Journal!$C$7:$J$83,8))</f>
        <v>0</v>
      </c>
      <c r="E8" s="106" t="str">
        <f>IF(B8="","",VLOOKUP(A8,Journal!$C$7:$L$83,10))</f>
        <v/>
      </c>
      <c r="F8" s="101" t="str">
        <f>IF(B8="","",VLOOKUP(A8,Journal!$C$7:$M$83,11))</f>
        <v/>
      </c>
      <c r="G8" s="127">
        <f>IF(B8="Total",0.0001,IF(OR(B8="",M8=0),0,VLOOKUP(A8,Journal!$C$7:M$83,7)))</f>
        <v>1E-4</v>
      </c>
      <c r="H8" s="127">
        <f>IF(B8="Total",0.0001,IF(OR(B8="",N8=0),0,VLOOKUP(A8,Journal!$C$7:M$83,7)))</f>
        <v>1E-4</v>
      </c>
      <c r="I8" s="104">
        <f>IF(B8="Total",I7,IF(B8="",0,I7+G8-H8))</f>
        <v>0</v>
      </c>
      <c r="J8" s="243"/>
      <c r="K8" s="244">
        <f>VLOOKUP(A8,Journal!$C$7:$M$83,4)</f>
        <v>0</v>
      </c>
      <c r="L8" s="245">
        <f>VLOOKUP(A8,Journal!$C$7:$M$83,5)</f>
        <v>0</v>
      </c>
      <c r="M8" s="245">
        <f>IF(AND(L8&gt;=$F$1,L8&lt;9999),1,0)</f>
        <v>0</v>
      </c>
      <c r="N8" s="245">
        <f>IF(AND(K8&gt;=$F$1,K8&lt;9999),1,0)</f>
        <v>0</v>
      </c>
      <c r="O8" s="200"/>
      <c r="P8" s="200"/>
      <c r="Q8" s="200"/>
      <c r="R8" s="200"/>
    </row>
    <row r="9" spans="1:18">
      <c r="A9" s="200">
        <f>A8+1</f>
        <v>2</v>
      </c>
      <c r="B9" s="105" t="str">
        <f>IF(OR(B8="Total",B8=""),"",IF(VLOOKUP(A9,Journal!$C$7:$E$83,3)=0,"Total",VLOOKUP(A9,Journal!$C$7:$D$83,2)))</f>
        <v/>
      </c>
      <c r="C9" s="103" t="str">
        <f>IF(B9="","",VLOOKUP(A9,Journal!$C$7:$E$83,3))</f>
        <v/>
      </c>
      <c r="D9" s="106" t="str">
        <f>IF(B9="","",VLOOKUP(A9,Journal!$C$7:$J$83,8))</f>
        <v/>
      </c>
      <c r="E9" s="106" t="str">
        <f>IF(B9="","",VLOOKUP(A9,Journal!$C$7:$L$83,10))</f>
        <v/>
      </c>
      <c r="F9" s="101" t="str">
        <f>IF(B9="","",VLOOKUP(A9,Journal!$C$7:$M$83,11))</f>
        <v/>
      </c>
      <c r="G9" s="127">
        <f>IF(B9="Total",SUM(G$8:G8)+0.0001,IF(OR(B9="",M9=0),0,VLOOKUP(A9,Journal!$C$7:M$83,7)))</f>
        <v>0</v>
      </c>
      <c r="H9" s="127">
        <f>IF(B9="Total",SUM(H8:H$8)+0.0001,IF(OR(B9="",N9=0),0,VLOOKUP(A9,Journal!$C$7:M$83,7)))</f>
        <v>0</v>
      </c>
      <c r="I9" s="104">
        <f>IF(B9="Total",I8,IF(B9="",0,I8+G9-H9))</f>
        <v>0</v>
      </c>
      <c r="J9" s="243"/>
      <c r="K9" s="244">
        <f>VLOOKUP(A9,Journal!$C$7:$M$83,4)</f>
        <v>0</v>
      </c>
      <c r="L9" s="245">
        <f>VLOOKUP(A9,Journal!$C$7:$M$83,5)</f>
        <v>0</v>
      </c>
      <c r="M9" s="245">
        <f>IF(AND(L9&gt;=$F$1,L9&lt;9999),1,0)</f>
        <v>0</v>
      </c>
      <c r="N9" s="245">
        <f t="shared" ref="N9:N24" si="0">IF(AND(K9&gt;=$F$1,K9&lt;9999),1,0)</f>
        <v>0</v>
      </c>
      <c r="O9" s="200"/>
      <c r="P9" s="200">
        <f>IF(I8=I9,I8+0.00001,I9)</f>
        <v>1.0000000000000001E-5</v>
      </c>
      <c r="Q9" s="200"/>
      <c r="R9" s="200"/>
    </row>
    <row r="10" spans="1:18">
      <c r="A10" s="200">
        <f>A9+1</f>
        <v>3</v>
      </c>
      <c r="B10" s="105" t="str">
        <f>IF(OR(B9="Total",B9=""),"",IF(VLOOKUP(A10,Journal!$C$7:$E$83,3)=0,"Total",VLOOKUP(A10,Journal!$C$7:$D$83,2)))</f>
        <v/>
      </c>
      <c r="C10" s="103" t="str">
        <f>IF(B10="","",VLOOKUP(A10,Journal!$C$7:$E$83,3))</f>
        <v/>
      </c>
      <c r="D10" s="106" t="str">
        <f>IF(B10="","",VLOOKUP(A10,Journal!$C$7:$J$83,8))</f>
        <v/>
      </c>
      <c r="E10" s="106" t="str">
        <f>IF(B10="","",VLOOKUP(A10,Journal!$C$7:$L$83,10))</f>
        <v/>
      </c>
      <c r="F10" s="101" t="str">
        <f>IF(B10="","",VLOOKUP(A10,Journal!$C$7:$M$83,11))</f>
        <v/>
      </c>
      <c r="G10" s="127">
        <f>IF(B10="Total",SUM(G$8:G9)+0.0001,IF(OR(B10="",M10=0),0,VLOOKUP(A10,Journal!$C$7:M$83,7)))</f>
        <v>0</v>
      </c>
      <c r="H10" s="127">
        <f>IF(B10="Total",SUM(H$8:H9)+0.0001,IF(OR(B10="",N10=0),0,VLOOKUP(A10,Journal!$C$7:M$83,7)))</f>
        <v>0</v>
      </c>
      <c r="I10" s="104">
        <f t="shared" ref="I10:I73" si="1">IF(B10="Total",I9,IF(B10="",0,I9+G10-H10))</f>
        <v>0</v>
      </c>
      <c r="J10" s="243"/>
      <c r="K10" s="244">
        <f>VLOOKUP(A10,Journal!$C$7:$M$83,4)</f>
        <v>0</v>
      </c>
      <c r="L10" s="245">
        <f>VLOOKUP(A10,Journal!$C$7:$M$83,5)</f>
        <v>0</v>
      </c>
      <c r="M10" s="245">
        <f t="shared" ref="M10:M24" si="2">IF(AND(L10&gt;=$F$1,L10&lt;9999),1,0)</f>
        <v>0</v>
      </c>
      <c r="N10" s="245">
        <f t="shared" si="0"/>
        <v>0</v>
      </c>
      <c r="O10" s="200"/>
      <c r="P10" s="200">
        <f t="shared" ref="P10:P24" si="3">IF(I9=I10,I9+0.00001,I10)</f>
        <v>1.0000000000000001E-5</v>
      </c>
      <c r="Q10" s="200"/>
      <c r="R10" s="200"/>
    </row>
    <row r="11" spans="1:18">
      <c r="A11" s="200">
        <f t="shared" ref="A11:A74" si="4">A10+1</f>
        <v>4</v>
      </c>
      <c r="B11" s="105" t="str">
        <f>IF(OR(B10="Total",B10=""),"",IF(VLOOKUP(A11,Journal!$C$7:$E$83,3)=0,"Total",VLOOKUP(A11,Journal!$C$7:$D$83,2)))</f>
        <v/>
      </c>
      <c r="C11" s="103" t="str">
        <f>IF(B11="","",VLOOKUP(A11,Journal!$C$7:$E$83,3))</f>
        <v/>
      </c>
      <c r="D11" s="106" t="str">
        <f>IF(B11="","",VLOOKUP(A11,Journal!$C$7:$J$83,8))</f>
        <v/>
      </c>
      <c r="E11" s="106" t="str">
        <f>IF(B11="","",VLOOKUP(A11,Journal!$C$7:$L$83,10))</f>
        <v/>
      </c>
      <c r="F11" s="101" t="str">
        <f>IF(B11="","",VLOOKUP(A11,Journal!$C$7:$M$83,11))</f>
        <v/>
      </c>
      <c r="G11" s="127">
        <f>IF(B11="Total",SUM(G$8:G10)+0.0001,IF(OR(B11="",M11=0),0,VLOOKUP(A11,Journal!$C$7:M$83,7)))</f>
        <v>0</v>
      </c>
      <c r="H11" s="127">
        <f>IF(B11="Total",SUM(H$8:H10)+0.0001,IF(OR(B11="",N11=0),0,VLOOKUP(A11,Journal!$C$7:M$83,7)))</f>
        <v>0</v>
      </c>
      <c r="I11" s="104">
        <f t="shared" si="1"/>
        <v>0</v>
      </c>
      <c r="J11" s="243"/>
      <c r="K11" s="244">
        <f>VLOOKUP(A11,Journal!$C$7:$M$83,4)</f>
        <v>0</v>
      </c>
      <c r="L11" s="245">
        <f>VLOOKUP(A11,Journal!$C$7:$M$83,5)</f>
        <v>0</v>
      </c>
      <c r="M11" s="245">
        <f t="shared" si="2"/>
        <v>0</v>
      </c>
      <c r="N11" s="245">
        <f t="shared" si="0"/>
        <v>0</v>
      </c>
      <c r="O11" s="200"/>
      <c r="P11" s="200">
        <f t="shared" si="3"/>
        <v>1.0000000000000001E-5</v>
      </c>
      <c r="Q11" s="200"/>
      <c r="R11" s="200"/>
    </row>
    <row r="12" spans="1:18">
      <c r="A12" s="200">
        <f t="shared" si="4"/>
        <v>5</v>
      </c>
      <c r="B12" s="105" t="str">
        <f>IF(OR(B11="Total",B11=""),"",IF(VLOOKUP(A12,Journal!$C$7:$E$83,3)=0,"Total",VLOOKUP(A12,Journal!$C$7:$D$83,2)))</f>
        <v/>
      </c>
      <c r="C12" s="103" t="str">
        <f>IF(B12="","",VLOOKUP(A12,Journal!$C$7:$E$83,3))</f>
        <v/>
      </c>
      <c r="D12" s="106" t="str">
        <f>IF(B12="","",VLOOKUP(A12,Journal!$C$7:$J$83,8))</f>
        <v/>
      </c>
      <c r="E12" s="106" t="str">
        <f>IF(B12="","",VLOOKUP(A12,Journal!$C$7:$L$83,10))</f>
        <v/>
      </c>
      <c r="F12" s="101" t="str">
        <f>IF(B12="","",VLOOKUP(A12,Journal!$C$7:$M$83,11))</f>
        <v/>
      </c>
      <c r="G12" s="127">
        <f>IF(B12="Total",SUM(G$8:G11)+0.0001,IF(OR(B12="",M12=0),0,VLOOKUP(A12,Journal!$C$7:M$83,7)))</f>
        <v>0</v>
      </c>
      <c r="H12" s="127">
        <f>IF(B12="Total",SUM(H$8:H11)+0.0001,IF(OR(B12="",N12=0),0,VLOOKUP(A12,Journal!$C$7:M$83,7)))</f>
        <v>0</v>
      </c>
      <c r="I12" s="104">
        <f t="shared" si="1"/>
        <v>0</v>
      </c>
      <c r="J12" s="243"/>
      <c r="K12" s="244">
        <f>VLOOKUP(A12,Journal!$C$7:$M$83,4)</f>
        <v>0</v>
      </c>
      <c r="L12" s="245">
        <f>VLOOKUP(A12,Journal!$C$7:$M$83,5)</f>
        <v>0</v>
      </c>
      <c r="M12" s="245">
        <f t="shared" si="2"/>
        <v>0</v>
      </c>
      <c r="N12" s="245">
        <f t="shared" si="0"/>
        <v>0</v>
      </c>
      <c r="O12" s="200"/>
      <c r="P12" s="200">
        <f t="shared" si="3"/>
        <v>1.0000000000000001E-5</v>
      </c>
      <c r="Q12" s="200"/>
      <c r="R12" s="200"/>
    </row>
    <row r="13" spans="1:18">
      <c r="A13" s="200">
        <f t="shared" si="4"/>
        <v>6</v>
      </c>
      <c r="B13" s="105" t="str">
        <f>IF(OR(B12="Total",B12=""),"",IF(VLOOKUP(A13,Journal!$C$7:$E$83,3)=0,"Total",VLOOKUP(A13,Journal!$C$7:$D$83,2)))</f>
        <v/>
      </c>
      <c r="C13" s="103" t="str">
        <f>IF(B13="","",VLOOKUP(A13,Journal!$C$7:$E$83,3))</f>
        <v/>
      </c>
      <c r="D13" s="106" t="str">
        <f>IF(B13="","",VLOOKUP(A13,Journal!$C$7:$J$83,8))</f>
        <v/>
      </c>
      <c r="E13" s="106" t="str">
        <f>IF(B13="","",VLOOKUP(A13,Journal!$C$7:$L$83,10))</f>
        <v/>
      </c>
      <c r="F13" s="101" t="str">
        <f>IF(B13="","",VLOOKUP(A13,Journal!$C$7:$M$83,11))</f>
        <v/>
      </c>
      <c r="G13" s="127">
        <f>IF(B13="Total",SUM(G$8:G12)+0.0001,IF(OR(B13="",M13=0),0,VLOOKUP(A13,Journal!$C$7:M$83,7)))</f>
        <v>0</v>
      </c>
      <c r="H13" s="127">
        <f>IF(B13="Total",SUM(H$8:H12)+0.0001,IF(OR(B13="",N13=0),0,VLOOKUP(A13,Journal!$C$7:M$83,7)))</f>
        <v>0</v>
      </c>
      <c r="I13" s="104">
        <f t="shared" si="1"/>
        <v>0</v>
      </c>
      <c r="J13" s="243"/>
      <c r="K13" s="244">
        <f>VLOOKUP(A13,Journal!$C$7:$M$83,4)</f>
        <v>0</v>
      </c>
      <c r="L13" s="245">
        <f>VLOOKUP(A13,Journal!$C$7:$M$83,5)</f>
        <v>0</v>
      </c>
      <c r="M13" s="245">
        <f t="shared" si="2"/>
        <v>0</v>
      </c>
      <c r="N13" s="245">
        <f t="shared" si="0"/>
        <v>0</v>
      </c>
      <c r="O13" s="200"/>
      <c r="P13" s="200">
        <f t="shared" si="3"/>
        <v>1.0000000000000001E-5</v>
      </c>
      <c r="Q13" s="200"/>
      <c r="R13" s="200"/>
    </row>
    <row r="14" spans="1:18">
      <c r="A14" s="200">
        <f t="shared" si="4"/>
        <v>7</v>
      </c>
      <c r="B14" s="105" t="str">
        <f>IF(OR(B13="Total",B13=""),"",IF(VLOOKUP(A14,Journal!$C$7:$E$83,3)=0,"Total",VLOOKUP(A14,Journal!$C$7:$D$83,2)))</f>
        <v/>
      </c>
      <c r="C14" s="103" t="str">
        <f>IF(B14="","",VLOOKUP(A14,Journal!$C$7:$E$83,3))</f>
        <v/>
      </c>
      <c r="D14" s="106" t="str">
        <f>IF(B14="","",VLOOKUP(A14,Journal!$C$7:$J$83,8))</f>
        <v/>
      </c>
      <c r="E14" s="106" t="str">
        <f>IF(B14="","",VLOOKUP(A14,Journal!$C$7:$L$83,10))</f>
        <v/>
      </c>
      <c r="F14" s="101" t="str">
        <f>IF(B14="","",VLOOKUP(A14,Journal!$C$7:$M$83,11))</f>
        <v/>
      </c>
      <c r="G14" s="127">
        <f>IF(B14="Total",SUM(G$8:G13)+0.0001,IF(OR(B14="",M14=0),0,VLOOKUP(A14,Journal!$C$7:M$83,7)))</f>
        <v>0</v>
      </c>
      <c r="H14" s="127">
        <f>IF(B14="Total",SUM(H$8:H13)+0.0001,IF(OR(B14="",N14=0),0,VLOOKUP(A14,Journal!$C$7:M$83,7)))</f>
        <v>0</v>
      </c>
      <c r="I14" s="104">
        <f t="shared" si="1"/>
        <v>0</v>
      </c>
      <c r="J14" s="243"/>
      <c r="K14" s="244">
        <f>VLOOKUP(A14,Journal!$C$7:$M$83,4)</f>
        <v>0</v>
      </c>
      <c r="L14" s="245">
        <f>VLOOKUP(A14,Journal!$C$7:$M$83,5)</f>
        <v>0</v>
      </c>
      <c r="M14" s="245">
        <f t="shared" si="2"/>
        <v>0</v>
      </c>
      <c r="N14" s="245">
        <f t="shared" si="0"/>
        <v>0</v>
      </c>
      <c r="O14" s="200"/>
      <c r="P14" s="200">
        <f t="shared" si="3"/>
        <v>1.0000000000000001E-5</v>
      </c>
      <c r="Q14" s="200"/>
      <c r="R14" s="200"/>
    </row>
    <row r="15" spans="1:18">
      <c r="A15" s="200">
        <f t="shared" si="4"/>
        <v>8</v>
      </c>
      <c r="B15" s="105" t="str">
        <f>IF(OR(B14="Total",B14=""),"",IF(VLOOKUP(A15,Journal!$C$7:$E$83,3)=0,"Total",VLOOKUP(A15,Journal!$C$7:$D$83,2)))</f>
        <v/>
      </c>
      <c r="C15" s="103" t="str">
        <f>IF(B15="","",VLOOKUP(A15,Journal!$C$7:$E$83,3))</f>
        <v/>
      </c>
      <c r="D15" s="106" t="str">
        <f>IF(B15="","",VLOOKUP(A15,Journal!$C$7:$J$83,8))</f>
        <v/>
      </c>
      <c r="E15" s="106" t="str">
        <f>IF(B15="","",VLOOKUP(A15,Journal!$C$7:$L$83,10))</f>
        <v/>
      </c>
      <c r="F15" s="101" t="str">
        <f>IF(B15="","",VLOOKUP(A15,Journal!$C$7:$M$83,11))</f>
        <v/>
      </c>
      <c r="G15" s="127">
        <f>IF(B15="Total",SUM(G$8:G14)+0.0001,IF(OR(B15="",M15=0),0,VLOOKUP(A15,Journal!$C$7:M$83,7)))</f>
        <v>0</v>
      </c>
      <c r="H15" s="127">
        <f>IF(B15="Total",SUM(H$8:H14)+0.0001,IF(OR(B15="",N15=0),0,VLOOKUP(A15,Journal!$C$7:M$83,7)))</f>
        <v>0</v>
      </c>
      <c r="I15" s="104">
        <f t="shared" si="1"/>
        <v>0</v>
      </c>
      <c r="J15" s="243"/>
      <c r="K15" s="244">
        <f>VLOOKUP(A15,Journal!$C$7:$M$83,4)</f>
        <v>0</v>
      </c>
      <c r="L15" s="245">
        <f>VLOOKUP(A15,Journal!$C$7:$M$83,5)</f>
        <v>0</v>
      </c>
      <c r="M15" s="245">
        <f t="shared" si="2"/>
        <v>0</v>
      </c>
      <c r="N15" s="245">
        <f t="shared" si="0"/>
        <v>0</v>
      </c>
      <c r="O15" s="200"/>
      <c r="P15" s="200">
        <f t="shared" si="3"/>
        <v>1.0000000000000001E-5</v>
      </c>
      <c r="Q15" s="200"/>
      <c r="R15" s="200"/>
    </row>
    <row r="16" spans="1:18">
      <c r="A16" s="200">
        <f t="shared" si="4"/>
        <v>9</v>
      </c>
      <c r="B16" s="105" t="str">
        <f>IF(OR(B15="Total",B15=""),"",IF(VLOOKUP(A16,Journal!$C$7:$E$83,3)=0,"Total",VLOOKUP(A16,Journal!$C$7:$D$83,2)))</f>
        <v/>
      </c>
      <c r="C16" s="103" t="str">
        <f>IF(B16="","",VLOOKUP(A16,Journal!$C$7:$E$83,3))</f>
        <v/>
      </c>
      <c r="D16" s="106" t="str">
        <f>IF(B16="","",VLOOKUP(A16,Journal!$C$7:$J$83,8))</f>
        <v/>
      </c>
      <c r="E16" s="106" t="str">
        <f>IF(B16="","",VLOOKUP(A16,Journal!$C$7:$L$83,10))</f>
        <v/>
      </c>
      <c r="F16" s="101" t="str">
        <f>IF(B16="","",VLOOKUP(A16,Journal!$C$7:$M$83,11))</f>
        <v/>
      </c>
      <c r="G16" s="127">
        <f>IF(B16="Total",SUM(G$8:G15)+0.0001,IF(OR(B16="",M16=0),0,VLOOKUP(A16,Journal!$C$7:M$83,7)))</f>
        <v>0</v>
      </c>
      <c r="H16" s="127">
        <f>IF(B16="Total",SUM(H$8:H15)+0.0001,IF(OR(B16="",N16=0),0,VLOOKUP(A16,Journal!$C$7:M$83,7)))</f>
        <v>0</v>
      </c>
      <c r="I16" s="104">
        <f t="shared" si="1"/>
        <v>0</v>
      </c>
      <c r="J16" s="243"/>
      <c r="K16" s="244">
        <f>VLOOKUP(A16,Journal!$C$7:$M$83,4)</f>
        <v>0</v>
      </c>
      <c r="L16" s="245">
        <f>VLOOKUP(A16,Journal!$C$7:$M$83,5)</f>
        <v>0</v>
      </c>
      <c r="M16" s="245">
        <f t="shared" si="2"/>
        <v>0</v>
      </c>
      <c r="N16" s="245">
        <f t="shared" si="0"/>
        <v>0</v>
      </c>
      <c r="O16" s="200"/>
      <c r="P16" s="200">
        <f t="shared" si="3"/>
        <v>1.0000000000000001E-5</v>
      </c>
      <c r="Q16" s="200"/>
      <c r="R16" s="200"/>
    </row>
    <row r="17" spans="1:18">
      <c r="A17" s="200">
        <f t="shared" si="4"/>
        <v>10</v>
      </c>
      <c r="B17" s="105" t="str">
        <f>IF(OR(B16="Total",B16=""),"",IF(VLOOKUP(A17,Journal!$C$7:$E$83,3)=0,"Total",VLOOKUP(A17,Journal!$C$7:$D$83,2)))</f>
        <v/>
      </c>
      <c r="C17" s="103" t="str">
        <f>IF(B17="","",VLOOKUP(A17,Journal!$C$7:$E$83,3))</f>
        <v/>
      </c>
      <c r="D17" s="106" t="str">
        <f>IF(B17="","",VLOOKUP(A17,Journal!$C$7:$J$83,8))</f>
        <v/>
      </c>
      <c r="E17" s="106" t="str">
        <f>IF(B17="","",VLOOKUP(A17,Journal!$C$7:$L$83,10))</f>
        <v/>
      </c>
      <c r="F17" s="101" t="str">
        <f>IF(B17="","",VLOOKUP(A17,Journal!$C$7:$M$83,11))</f>
        <v/>
      </c>
      <c r="G17" s="127">
        <f>IF(B17="Total",SUM(G$8:G16)+0.0001,IF(OR(B17="",M17=0),0,VLOOKUP(A17,Journal!$C$7:M$83,7)))</f>
        <v>0</v>
      </c>
      <c r="H17" s="127">
        <f>IF(B17="Total",SUM(H$8:H16)+0.0001,IF(OR(B17="",N17=0),0,VLOOKUP(A17,Journal!$C$7:M$83,7)))</f>
        <v>0</v>
      </c>
      <c r="I17" s="104">
        <f t="shared" si="1"/>
        <v>0</v>
      </c>
      <c r="J17" s="243"/>
      <c r="K17" s="244">
        <f>VLOOKUP(A17,Journal!$C$7:$M$83,4)</f>
        <v>0</v>
      </c>
      <c r="L17" s="245">
        <f>VLOOKUP(A17,Journal!$C$7:$M$83,5)</f>
        <v>0</v>
      </c>
      <c r="M17" s="245">
        <f t="shared" si="2"/>
        <v>0</v>
      </c>
      <c r="N17" s="245">
        <f t="shared" si="0"/>
        <v>0</v>
      </c>
      <c r="O17" s="200"/>
      <c r="P17" s="200">
        <f t="shared" si="3"/>
        <v>1.0000000000000001E-5</v>
      </c>
      <c r="Q17" s="200"/>
      <c r="R17" s="200"/>
    </row>
    <row r="18" spans="1:18">
      <c r="A18" s="200">
        <f t="shared" si="4"/>
        <v>11</v>
      </c>
      <c r="B18" s="105" t="str">
        <f>IF(OR(B17="Total",B17=""),"",IF(VLOOKUP(A18,Journal!$C$7:$E$83,3)=0,"Total",VLOOKUP(A18,Journal!$C$7:$D$83,2)))</f>
        <v/>
      </c>
      <c r="C18" s="103" t="str">
        <f>IF(B18="","",VLOOKUP(A18,Journal!$C$7:$E$83,3))</f>
        <v/>
      </c>
      <c r="D18" s="106" t="str">
        <f>IF(B18="","",VLOOKUP(A18,Journal!$C$7:$J$83,8))</f>
        <v/>
      </c>
      <c r="E18" s="106" t="str">
        <f>IF(B18="","",VLOOKUP(A18,Journal!$C$7:$L$83,10))</f>
        <v/>
      </c>
      <c r="F18" s="101" t="str">
        <f>IF(B18="","",VLOOKUP(A18,Journal!$C$7:$M$83,11))</f>
        <v/>
      </c>
      <c r="G18" s="127">
        <f>IF(B18="Total",SUM(G$8:G17)+0.0001,IF(OR(B18="",M18=0),0,VLOOKUP(A18,Journal!$C$7:M$83,7)))</f>
        <v>0</v>
      </c>
      <c r="H18" s="127">
        <f>IF(B18="Total",SUM(H$8:H17)+0.0001,IF(OR(B18="",N18=0),0,VLOOKUP(A18,Journal!$C$7:M$83,7)))</f>
        <v>0</v>
      </c>
      <c r="I18" s="104">
        <f t="shared" si="1"/>
        <v>0</v>
      </c>
      <c r="J18" s="243"/>
      <c r="K18" s="244">
        <f>VLOOKUP(A18,Journal!$C$7:$M$83,4)</f>
        <v>0</v>
      </c>
      <c r="L18" s="245">
        <f>VLOOKUP(A18,Journal!$C$7:$M$83,5)</f>
        <v>0</v>
      </c>
      <c r="M18" s="245">
        <f t="shared" si="2"/>
        <v>0</v>
      </c>
      <c r="N18" s="245">
        <f t="shared" si="0"/>
        <v>0</v>
      </c>
      <c r="O18" s="200"/>
      <c r="P18" s="200">
        <f t="shared" si="3"/>
        <v>1.0000000000000001E-5</v>
      </c>
      <c r="Q18" s="200"/>
      <c r="R18" s="200"/>
    </row>
    <row r="19" spans="1:18">
      <c r="A19" s="200">
        <f t="shared" si="4"/>
        <v>12</v>
      </c>
      <c r="B19" s="105" t="str">
        <f>IF(OR(B18="Total",B18=""),"",IF(VLOOKUP(A19,Journal!$C$7:$E$83,3)=0,"Total",VLOOKUP(A19,Journal!$C$7:$D$83,2)))</f>
        <v/>
      </c>
      <c r="C19" s="103" t="str">
        <f>IF(B19="","",VLOOKUP(A19,Journal!$C$7:$E$83,3))</f>
        <v/>
      </c>
      <c r="D19" s="106" t="str">
        <f>IF(B19="","",VLOOKUP(A19,Journal!$C$7:$J$83,8))</f>
        <v/>
      </c>
      <c r="E19" s="106" t="str">
        <f>IF(B19="","",VLOOKUP(A19,Journal!$C$7:$L$83,10))</f>
        <v/>
      </c>
      <c r="F19" s="101" t="str">
        <f>IF(B19="","",VLOOKUP(A19,Journal!$C$7:$M$83,11))</f>
        <v/>
      </c>
      <c r="G19" s="127">
        <f>IF(B19="Total",SUM(G$8:G18)+0.0001,IF(OR(B19="",M19=0),0,VLOOKUP(A19,Journal!$C$7:M$83,7)))</f>
        <v>0</v>
      </c>
      <c r="H19" s="127">
        <f>IF(B19="Total",SUM(H$8:H18)+0.0001,IF(OR(B19="",N19=0),0,VLOOKUP(A19,Journal!$C$7:M$83,7)))</f>
        <v>0</v>
      </c>
      <c r="I19" s="104">
        <f t="shared" si="1"/>
        <v>0</v>
      </c>
      <c r="J19" s="243"/>
      <c r="K19" s="244">
        <f>VLOOKUP(A19,Journal!$C$7:$M$83,4)</f>
        <v>0</v>
      </c>
      <c r="L19" s="245">
        <f>VLOOKUP(A19,Journal!$C$7:$M$83,5)</f>
        <v>0</v>
      </c>
      <c r="M19" s="245">
        <f t="shared" si="2"/>
        <v>0</v>
      </c>
      <c r="N19" s="245">
        <f t="shared" si="0"/>
        <v>0</v>
      </c>
      <c r="O19" s="200"/>
      <c r="P19" s="200">
        <f t="shared" si="3"/>
        <v>1.0000000000000001E-5</v>
      </c>
      <c r="Q19" s="246"/>
      <c r="R19" s="200"/>
    </row>
    <row r="20" spans="1:18">
      <c r="A20" s="200">
        <f t="shared" si="4"/>
        <v>13</v>
      </c>
      <c r="B20" s="105" t="str">
        <f>IF(OR(B19="Total",B19=""),"",IF(VLOOKUP(A20,Journal!$C$7:$E$83,3)=0,"Total",VLOOKUP(A20,Journal!$C$7:$D$83,2)))</f>
        <v/>
      </c>
      <c r="C20" s="103" t="str">
        <f>IF(B20="","",VLOOKUP(A20,Journal!$C$7:$E$83,3))</f>
        <v/>
      </c>
      <c r="D20" s="106" t="str">
        <f>IF(B20="","",VLOOKUP(A20,Journal!$C$7:$J$83,8))</f>
        <v/>
      </c>
      <c r="E20" s="106" t="str">
        <f>IF(B20="","",VLOOKUP(A20,Journal!$C$7:$L$83,10))</f>
        <v/>
      </c>
      <c r="F20" s="101" t="str">
        <f>IF(B20="","",VLOOKUP(A20,Journal!$C$7:$M$83,11))</f>
        <v/>
      </c>
      <c r="G20" s="127">
        <f>IF(B20="Total",SUM(G$8:G19)+0.0001,IF(OR(B20="",M20=0),0,VLOOKUP(A20,Journal!$C$7:M$83,7)))</f>
        <v>0</v>
      </c>
      <c r="H20" s="127">
        <f>IF(B20="Total",SUM(H$8:H19)+0.0001,IF(OR(B20="",N20=0),0,VLOOKUP(A20,Journal!$C$7:M$83,7)))</f>
        <v>0</v>
      </c>
      <c r="I20" s="104">
        <f t="shared" si="1"/>
        <v>0</v>
      </c>
      <c r="J20" s="243"/>
      <c r="K20" s="244">
        <f>VLOOKUP(A20,Journal!$C$7:$M$83,4)</f>
        <v>0</v>
      </c>
      <c r="L20" s="245">
        <f>VLOOKUP(A20,Journal!$C$7:$M$83,5)</f>
        <v>0</v>
      </c>
      <c r="M20" s="245">
        <f t="shared" si="2"/>
        <v>0</v>
      </c>
      <c r="N20" s="245">
        <f t="shared" si="0"/>
        <v>0</v>
      </c>
      <c r="O20" s="200"/>
      <c r="P20" s="200">
        <f t="shared" si="3"/>
        <v>1.0000000000000001E-5</v>
      </c>
      <c r="Q20" s="200"/>
      <c r="R20" s="200"/>
    </row>
    <row r="21" spans="1:18">
      <c r="A21">
        <f t="shared" si="4"/>
        <v>14</v>
      </c>
      <c r="B21" s="105" t="str">
        <f>IF(OR(B20="Total",B20=""),"",IF(VLOOKUP(A21,Journal!$C$7:$E$83,3)=0,"Total",VLOOKUP(A21,Journal!$C$7:$D$83,2)))</f>
        <v/>
      </c>
      <c r="C21" s="103" t="str">
        <f>IF(B21="","",VLOOKUP(A21,Journal!$C$7:$E$83,3))</f>
        <v/>
      </c>
      <c r="D21" s="106" t="str">
        <f>IF(B21="","",VLOOKUP(A21,Journal!$C$7:$J$83,8))</f>
        <v/>
      </c>
      <c r="E21" s="106" t="str">
        <f>IF(B21="","",VLOOKUP(A21,Journal!$C$7:$L$83,10))</f>
        <v/>
      </c>
      <c r="F21" s="101" t="str">
        <f>IF(B21="","",VLOOKUP(A21,Journal!$C$7:$M$83,11))</f>
        <v/>
      </c>
      <c r="G21" s="127">
        <f>IF(B21="Total",SUM(G$8:G20)+0.0001,IF(OR(B21="",M21=0),0,VLOOKUP(A21,Journal!$C$7:M$83,7)))</f>
        <v>0</v>
      </c>
      <c r="H21" s="127">
        <f>IF(B21="Total",SUM(H$8:H20)+0.0001,IF(OR(B21="",N21=0),0,VLOOKUP(A21,Journal!$C$7:M$83,7)))</f>
        <v>0</v>
      </c>
      <c r="I21" s="104">
        <f t="shared" si="1"/>
        <v>0</v>
      </c>
      <c r="J21" s="128"/>
      <c r="K21" s="244">
        <f>VLOOKUP(A21,Journal!$C$7:$M$83,4)</f>
        <v>0</v>
      </c>
      <c r="L21" s="245">
        <f>VLOOKUP(A21,Journal!$C$7:$M$83,5)</f>
        <v>0</v>
      </c>
      <c r="M21" s="245">
        <f t="shared" si="2"/>
        <v>0</v>
      </c>
      <c r="N21" s="245">
        <f t="shared" si="0"/>
        <v>0</v>
      </c>
      <c r="P21">
        <f t="shared" si="3"/>
        <v>1.0000000000000001E-5</v>
      </c>
    </row>
    <row r="22" spans="1:18">
      <c r="A22">
        <f t="shared" si="4"/>
        <v>15</v>
      </c>
      <c r="B22" s="105" t="str">
        <f>IF(OR(B21="Total",B21=""),"",IF(VLOOKUP(A22,Journal!$C$7:$E$83,3)=0,"Total",VLOOKUP(A22,Journal!$C$7:$D$83,2)))</f>
        <v/>
      </c>
      <c r="C22" s="103" t="str">
        <f>IF(B22="","",VLOOKUP(A22,Journal!$C$7:$E$83,3))</f>
        <v/>
      </c>
      <c r="D22" s="106" t="str">
        <f>IF(B22="","",VLOOKUP(A22,Journal!$C$7:$J$83,8))</f>
        <v/>
      </c>
      <c r="E22" s="106" t="str">
        <f>IF(B22="","",VLOOKUP(A22,Journal!$C$7:$L$83,10))</f>
        <v/>
      </c>
      <c r="F22" s="101" t="str">
        <f>IF(B22="","",VLOOKUP(A22,Journal!$C$7:$M$83,11))</f>
        <v/>
      </c>
      <c r="G22" s="127">
        <f>IF(B22="Total",SUM(G$8:G21)+0.0001,IF(OR(B22="",M22=0),0,VLOOKUP(A22,Journal!$C$7:M$83,7)))</f>
        <v>0</v>
      </c>
      <c r="H22" s="127">
        <f>IF(B22="Total",SUM(H$8:H21)+0.0001,IF(OR(B22="",N22=0),0,VLOOKUP(A22,Journal!$C$7:M$83,7)))</f>
        <v>0</v>
      </c>
      <c r="I22" s="104">
        <f t="shared" si="1"/>
        <v>0</v>
      </c>
      <c r="J22" s="128"/>
      <c r="K22" s="244">
        <f>VLOOKUP(A22,Journal!$C$7:$M$83,4)</f>
        <v>0</v>
      </c>
      <c r="L22" s="245">
        <f>VLOOKUP(A22,Journal!$C$7:$M$83,5)</f>
        <v>0</v>
      </c>
      <c r="M22" s="245">
        <f t="shared" si="2"/>
        <v>0</v>
      </c>
      <c r="N22" s="245">
        <f t="shared" si="0"/>
        <v>0</v>
      </c>
      <c r="P22">
        <f t="shared" si="3"/>
        <v>1.0000000000000001E-5</v>
      </c>
    </row>
    <row r="23" spans="1:18">
      <c r="A23">
        <f t="shared" si="4"/>
        <v>16</v>
      </c>
      <c r="B23" s="105" t="str">
        <f>IF(OR(B22="Total",B22=""),"",IF(VLOOKUP(A23,Journal!$C$7:$E$83,3)=0,"Total",VLOOKUP(A23,Journal!$C$7:$D$83,2)))</f>
        <v/>
      </c>
      <c r="C23" s="103" t="str">
        <f>IF(B23="","",VLOOKUP(A23,Journal!$C$7:$E$83,3))</f>
        <v/>
      </c>
      <c r="D23" s="106" t="str">
        <f>IF(B23="","",VLOOKUP(A23,Journal!$C$7:$J$83,8))</f>
        <v/>
      </c>
      <c r="E23" s="106" t="str">
        <f>IF(B23="","",VLOOKUP(A23,Journal!$C$7:$L$83,10))</f>
        <v/>
      </c>
      <c r="F23" s="101" t="str">
        <f>IF(B23="","",VLOOKUP(A23,Journal!$C$7:$M$83,11))</f>
        <v/>
      </c>
      <c r="G23" s="127">
        <f>IF(B23="Total",SUM(G$8:G22)+0.0001,IF(OR(B23="",M23=0),0,VLOOKUP(A23,Journal!$C$7:M$83,7)))</f>
        <v>0</v>
      </c>
      <c r="H23" s="127">
        <f>IF(B23="Total",SUM(H$8:H22)+0.0001,IF(OR(B23="",N23=0),0,VLOOKUP(A23,Journal!$C$7:M$83,7)))</f>
        <v>0</v>
      </c>
      <c r="I23" s="104">
        <f t="shared" si="1"/>
        <v>0</v>
      </c>
      <c r="J23" s="128"/>
      <c r="K23" s="244">
        <f>VLOOKUP(A23,Journal!$C$7:$M$83,4)</f>
        <v>0</v>
      </c>
      <c r="L23" s="245">
        <f>VLOOKUP(A23,Journal!$C$7:$M$83,5)</f>
        <v>0</v>
      </c>
      <c r="M23" s="245">
        <f t="shared" si="2"/>
        <v>0</v>
      </c>
      <c r="N23" s="245">
        <f t="shared" si="0"/>
        <v>0</v>
      </c>
      <c r="P23">
        <f t="shared" si="3"/>
        <v>1.0000000000000001E-5</v>
      </c>
    </row>
    <row r="24" spans="1:18">
      <c r="A24">
        <f t="shared" si="4"/>
        <v>17</v>
      </c>
      <c r="B24" s="105" t="str">
        <f>IF(OR(B23="Total",B23=""),"",IF(VLOOKUP(A24,Journal!$C$7:$E$83,3)=0,"Total",VLOOKUP(A24,Journal!$C$7:$D$83,2)))</f>
        <v/>
      </c>
      <c r="C24" s="103" t="str">
        <f>IF(B24="","",VLOOKUP(A24,Journal!$C$7:$E$83,3))</f>
        <v/>
      </c>
      <c r="D24" s="106" t="str">
        <f>IF(B24="","",VLOOKUP(A24,Journal!$C$7:$J$83,8))</f>
        <v/>
      </c>
      <c r="E24" s="106" t="str">
        <f>IF(B24="","",VLOOKUP(A24,Journal!$C$7:$L$83,10))</f>
        <v/>
      </c>
      <c r="F24" s="101" t="str">
        <f>IF(B24="","",VLOOKUP(A24,Journal!$C$7:$M$83,11))</f>
        <v/>
      </c>
      <c r="G24" s="127">
        <f>IF(B24="Total",SUM(G$8:G23)+0.0001,IF(OR(B24="",M24=0),0,VLOOKUP(A24,Journal!$C$7:M$83,7)))</f>
        <v>0</v>
      </c>
      <c r="H24" s="127">
        <f>IF(B24="Total",SUM(H$8:H23)+0.0001,IF(OR(B24="",N24=0),0,VLOOKUP(A24,Journal!$C$7:M$83,7)))</f>
        <v>0</v>
      </c>
      <c r="I24" s="104">
        <f t="shared" si="1"/>
        <v>0</v>
      </c>
      <c r="J24" s="128"/>
      <c r="K24" s="244">
        <f>VLOOKUP(A24,Journal!$C$7:$M$83,4)</f>
        <v>0</v>
      </c>
      <c r="L24" s="245">
        <f>VLOOKUP(A24,Journal!$C$7:$M$83,5)</f>
        <v>0</v>
      </c>
      <c r="M24" s="245">
        <f t="shared" si="2"/>
        <v>0</v>
      </c>
      <c r="N24" s="245">
        <f t="shared" si="0"/>
        <v>0</v>
      </c>
      <c r="P24">
        <f t="shared" si="3"/>
        <v>1.0000000000000001E-5</v>
      </c>
    </row>
    <row r="25" spans="1:18">
      <c r="A25">
        <f t="shared" si="4"/>
        <v>18</v>
      </c>
      <c r="B25" s="105" t="str">
        <f>IF(OR(B24="Total",B24=""),"",IF(VLOOKUP(A25,Journal!$C$7:$E$83,3)=0,"Total",VLOOKUP(A25,Journal!$C$7:$D$83,2)))</f>
        <v/>
      </c>
      <c r="C25" s="103" t="str">
        <f>IF(B25="","",VLOOKUP(A25,Journal!$C$7:$E$83,3))</f>
        <v/>
      </c>
      <c r="D25" s="106" t="str">
        <f>IF(B25="","",VLOOKUP(A25,Journal!$C$7:$J$83,8))</f>
        <v/>
      </c>
      <c r="E25" s="106" t="str">
        <f>IF(B25="","",VLOOKUP(A25,Journal!$C$7:$L$83,10))</f>
        <v/>
      </c>
      <c r="F25" s="101" t="str">
        <f>IF(B25="","",VLOOKUP(A25,Journal!$C$7:$M$83,11))</f>
        <v/>
      </c>
      <c r="G25" s="127">
        <f>IF(B25="Total",SUM(G$8:G24)+0.0001,IF(OR(B25="",M25=0),0,VLOOKUP(A25,Journal!$C$7:M$83,7)))</f>
        <v>0</v>
      </c>
      <c r="H25" s="127">
        <f>IF(B25="Total",SUM(H$8:H24)+0.0001,IF(OR(B25="",N25=0),0,VLOOKUP(A25,Journal!$C$7:M$83,7)))</f>
        <v>0</v>
      </c>
      <c r="I25" s="104">
        <f t="shared" si="1"/>
        <v>0</v>
      </c>
      <c r="J25" s="128"/>
      <c r="K25" s="244">
        <f>VLOOKUP(A25,Journal!$C$7:$M$83,4)</f>
        <v>0</v>
      </c>
      <c r="L25" s="245">
        <f>VLOOKUP(A25,Journal!$C$7:$M$83,5)</f>
        <v>0</v>
      </c>
      <c r="M25" s="245">
        <f t="shared" ref="M25:M82" si="5">IF(AND(L25&gt;=$F$1,L25&lt;9999),1,0)</f>
        <v>0</v>
      </c>
      <c r="N25" s="245">
        <f t="shared" ref="N25:N82" si="6">IF(AND(K25&gt;=$F$1,K25&lt;9999),1,0)</f>
        <v>0</v>
      </c>
      <c r="O25" s="200"/>
      <c r="P25" s="200">
        <f t="shared" ref="P25:P82" si="7">IF(I24=I25,I24+0.00001,I25)</f>
        <v>1.0000000000000001E-5</v>
      </c>
    </row>
    <row r="26" spans="1:18">
      <c r="A26">
        <f t="shared" si="4"/>
        <v>19</v>
      </c>
      <c r="B26" s="105" t="str">
        <f>IF(OR(B25="Total",B25=""),"",IF(VLOOKUP(A26,Journal!$C$7:$E$83,3)=0,"Total",VLOOKUP(A26,Journal!$C$7:$D$83,2)))</f>
        <v/>
      </c>
      <c r="C26" s="103" t="str">
        <f>IF(B26="","",VLOOKUP(A26,Journal!$C$7:$E$83,3))</f>
        <v/>
      </c>
      <c r="D26" s="106" t="str">
        <f>IF(B26="","",VLOOKUP(A26,Journal!$C$7:$J$83,8))</f>
        <v/>
      </c>
      <c r="E26" s="106" t="str">
        <f>IF(B26="","",VLOOKUP(A26,Journal!$C$7:$L$83,10))</f>
        <v/>
      </c>
      <c r="F26" s="101" t="str">
        <f>IF(B26="","",VLOOKUP(A26,Journal!$C$7:$M$83,11))</f>
        <v/>
      </c>
      <c r="G26" s="127">
        <f>IF(B26="Total",SUM(G$8:G25)+0.0001,IF(OR(B26="",M26=0),0,VLOOKUP(A26,Journal!$C$7:M$83,7)))</f>
        <v>0</v>
      </c>
      <c r="H26" s="127">
        <f>IF(B26="Total",SUM(H$8:H25)+0.0001,IF(OR(B26="",N26=0),0,VLOOKUP(A26,Journal!$C$7:M$83,7)))</f>
        <v>0</v>
      </c>
      <c r="I26" s="104">
        <f t="shared" si="1"/>
        <v>0</v>
      </c>
      <c r="J26" s="128"/>
      <c r="K26" s="244">
        <f>VLOOKUP(A26,Journal!$C$7:$M$83,4)</f>
        <v>0</v>
      </c>
      <c r="L26" s="245">
        <f>VLOOKUP(A26,Journal!$C$7:$M$83,5)</f>
        <v>0</v>
      </c>
      <c r="M26" s="245">
        <f t="shared" si="5"/>
        <v>0</v>
      </c>
      <c r="N26" s="245">
        <f t="shared" si="6"/>
        <v>0</v>
      </c>
      <c r="O26" s="200"/>
      <c r="P26" s="200">
        <f t="shared" si="7"/>
        <v>1.0000000000000001E-5</v>
      </c>
    </row>
    <row r="27" spans="1:18">
      <c r="A27">
        <f t="shared" si="4"/>
        <v>20</v>
      </c>
      <c r="B27" s="105" t="str">
        <f>IF(OR(B26="Total",B26=""),"",IF(VLOOKUP(A27,Journal!$C$7:$E$83,3)=0,"Total",VLOOKUP(A27,Journal!$C$7:$D$83,2)))</f>
        <v/>
      </c>
      <c r="C27" s="103" t="str">
        <f>IF(B27="","",VLOOKUP(A27,Journal!$C$7:$E$83,3))</f>
        <v/>
      </c>
      <c r="D27" s="106" t="str">
        <f>IF(B27="","",VLOOKUP(A27,Journal!$C$7:$J$83,8))</f>
        <v/>
      </c>
      <c r="E27" s="106" t="str">
        <f>IF(B27="","",VLOOKUP(A27,Journal!$C$7:$L$83,10))</f>
        <v/>
      </c>
      <c r="F27" s="101" t="str">
        <f>IF(B27="","",VLOOKUP(A27,Journal!$C$7:$M$83,11))</f>
        <v/>
      </c>
      <c r="G27" s="127">
        <f>IF(B27="Total",SUM(G$8:G26)+0.0001,IF(OR(B27="",M27=0),0,VLOOKUP(A27,Journal!$C$7:M$83,7)))</f>
        <v>0</v>
      </c>
      <c r="H27" s="127">
        <f>IF(B27="Total",SUM(H$8:H26)+0.0001,IF(OR(B27="",N27=0),0,VLOOKUP(A27,Journal!$C$7:M$83,7)))</f>
        <v>0</v>
      </c>
      <c r="I27" s="104">
        <f t="shared" si="1"/>
        <v>0</v>
      </c>
      <c r="J27" s="128"/>
      <c r="K27" s="244">
        <f>VLOOKUP(A27,Journal!$C$7:$M$83,4)</f>
        <v>0</v>
      </c>
      <c r="L27" s="245">
        <f>VLOOKUP(A27,Journal!$C$7:$M$83,5)</f>
        <v>0</v>
      </c>
      <c r="M27" s="245">
        <f t="shared" si="5"/>
        <v>0</v>
      </c>
      <c r="N27" s="245">
        <f t="shared" si="6"/>
        <v>0</v>
      </c>
      <c r="O27" s="200"/>
      <c r="P27" s="200">
        <f t="shared" si="7"/>
        <v>1.0000000000000001E-5</v>
      </c>
    </row>
    <row r="28" spans="1:18">
      <c r="A28">
        <f t="shared" si="4"/>
        <v>21</v>
      </c>
      <c r="B28" s="105" t="str">
        <f>IF(OR(B27="Total",B27=""),"",IF(VLOOKUP(A28,Journal!$C$7:$E$83,3)=0,"Total",VLOOKUP(A28,Journal!$C$7:$D$83,2)))</f>
        <v/>
      </c>
      <c r="C28" s="103" t="str">
        <f>IF(B28="","",VLOOKUP(A28,Journal!$C$7:$E$83,3))</f>
        <v/>
      </c>
      <c r="D28" s="106" t="str">
        <f>IF(B28="","",VLOOKUP(A28,Journal!$C$7:$J$83,8))</f>
        <v/>
      </c>
      <c r="E28" s="106" t="str">
        <f>IF(B28="","",VLOOKUP(A28,Journal!$C$7:$L$83,10))</f>
        <v/>
      </c>
      <c r="F28" s="101" t="str">
        <f>IF(B28="","",VLOOKUP(A28,Journal!$C$7:$M$83,11))</f>
        <v/>
      </c>
      <c r="G28" s="127">
        <f>IF(B28="Total",SUM(G$8:G27)+0.0001,IF(OR(B28="",M28=0),0,VLOOKUP(A28,Journal!$C$7:M$83,7)))</f>
        <v>0</v>
      </c>
      <c r="H28" s="127">
        <f>IF(B28="Total",SUM(H$8:H27)+0.0001,IF(OR(B28="",N28=0),0,VLOOKUP(A28,Journal!$C$7:M$83,7)))</f>
        <v>0</v>
      </c>
      <c r="I28" s="104">
        <f t="shared" si="1"/>
        <v>0</v>
      </c>
      <c r="J28" s="128"/>
      <c r="K28" s="244">
        <f>VLOOKUP(A28,Journal!$C$7:$M$83,4)</f>
        <v>0</v>
      </c>
      <c r="L28" s="245">
        <f>VLOOKUP(A28,Journal!$C$7:$M$83,5)</f>
        <v>0</v>
      </c>
      <c r="M28" s="245">
        <f t="shared" si="5"/>
        <v>0</v>
      </c>
      <c r="N28" s="245">
        <f t="shared" si="6"/>
        <v>0</v>
      </c>
      <c r="O28" s="200"/>
      <c r="P28" s="200">
        <f t="shared" si="7"/>
        <v>1.0000000000000001E-5</v>
      </c>
    </row>
    <row r="29" spans="1:18">
      <c r="A29">
        <f t="shared" si="4"/>
        <v>22</v>
      </c>
      <c r="B29" s="105" t="str">
        <f>IF(OR(B28="Total",B28=""),"",IF(VLOOKUP(A29,Journal!$C$7:$E$83,3)=0,"Total",VLOOKUP(A29,Journal!$C$7:$D$83,2)))</f>
        <v/>
      </c>
      <c r="C29" s="103" t="str">
        <f>IF(B29="","",VLOOKUP(A29,Journal!$C$7:$E$83,3))</f>
        <v/>
      </c>
      <c r="D29" s="106" t="str">
        <f>IF(B29="","",VLOOKUP(A29,Journal!$C$7:$J$83,8))</f>
        <v/>
      </c>
      <c r="E29" s="106" t="str">
        <f>IF(B29="","",VLOOKUP(A29,Journal!$C$7:$L$83,10))</f>
        <v/>
      </c>
      <c r="F29" s="101" t="str">
        <f>IF(B29="","",VLOOKUP(A29,Journal!$C$7:$M$83,11))</f>
        <v/>
      </c>
      <c r="G29" s="127">
        <f>IF(B29="Total",SUM(G$8:G28)+0.0001,IF(OR(B29="",M29=0),0,VLOOKUP(A29,Journal!$C$7:M$83,7)))</f>
        <v>0</v>
      </c>
      <c r="H29" s="127">
        <f>IF(B29="Total",SUM(H$8:H28)+0.0001,IF(OR(B29="",N29=0),0,VLOOKUP(A29,Journal!$C$7:M$83,7)))</f>
        <v>0</v>
      </c>
      <c r="I29" s="104">
        <f t="shared" si="1"/>
        <v>0</v>
      </c>
      <c r="J29" s="128"/>
      <c r="K29" s="244">
        <f>VLOOKUP(A29,Journal!$C$7:$M$83,4)</f>
        <v>0</v>
      </c>
      <c r="L29" s="245">
        <f>VLOOKUP(A29,Journal!$C$7:$M$83,5)</f>
        <v>0</v>
      </c>
      <c r="M29" s="245">
        <f t="shared" si="5"/>
        <v>0</v>
      </c>
      <c r="N29" s="245">
        <f t="shared" si="6"/>
        <v>0</v>
      </c>
      <c r="O29" s="200"/>
      <c r="P29" s="200">
        <f t="shared" si="7"/>
        <v>1.0000000000000001E-5</v>
      </c>
    </row>
    <row r="30" spans="1:18">
      <c r="A30">
        <f t="shared" si="4"/>
        <v>23</v>
      </c>
      <c r="B30" s="105" t="str">
        <f>IF(OR(B29="Total",B29=""),"",IF(VLOOKUP(A30,Journal!$C$7:$E$83,3)=0,"Total",VLOOKUP(A30,Journal!$C$7:$D$83,2)))</f>
        <v/>
      </c>
      <c r="C30" s="103" t="str">
        <f>IF(B30="","",VLOOKUP(A30,Journal!$C$7:$E$83,3))</f>
        <v/>
      </c>
      <c r="D30" s="106" t="str">
        <f>IF(B30="","",VLOOKUP(A30,Journal!$C$7:$J$83,8))</f>
        <v/>
      </c>
      <c r="E30" s="106" t="str">
        <f>IF(B30="","",VLOOKUP(A30,Journal!$C$7:$L$83,10))</f>
        <v/>
      </c>
      <c r="F30" s="101" t="str">
        <f>IF(B30="","",VLOOKUP(A30,Journal!$C$7:$M$83,11))</f>
        <v/>
      </c>
      <c r="G30" s="127">
        <f>IF(B30="Total",SUM(G$8:G29)+0.0001,IF(OR(B30="",M30=0),0,VLOOKUP(A30,Journal!$C$7:M$83,7)))</f>
        <v>0</v>
      </c>
      <c r="H30" s="127">
        <f>IF(B30="Total",SUM(H$8:H29)+0.0001,IF(OR(B30="",N30=0),0,VLOOKUP(A30,Journal!$C$7:M$83,7)))</f>
        <v>0</v>
      </c>
      <c r="I30" s="104">
        <f t="shared" si="1"/>
        <v>0</v>
      </c>
      <c r="J30" s="128"/>
      <c r="K30" s="244">
        <f>VLOOKUP(A30,Journal!$C$7:$M$83,4)</f>
        <v>0</v>
      </c>
      <c r="L30" s="245">
        <f>VLOOKUP(A30,Journal!$C$7:$M$83,5)</f>
        <v>0</v>
      </c>
      <c r="M30" s="245">
        <f t="shared" si="5"/>
        <v>0</v>
      </c>
      <c r="N30" s="245">
        <f t="shared" si="6"/>
        <v>0</v>
      </c>
      <c r="O30" s="200"/>
      <c r="P30" s="200">
        <f t="shared" si="7"/>
        <v>1.0000000000000001E-5</v>
      </c>
    </row>
    <row r="31" spans="1:18">
      <c r="A31">
        <f t="shared" si="4"/>
        <v>24</v>
      </c>
      <c r="B31" s="105" t="str">
        <f>IF(OR(B30="Total",B30=""),"",IF(VLOOKUP(A31,Journal!$C$7:$E$83,3)=0,"Total",VLOOKUP(A31,Journal!$C$7:$D$83,2)))</f>
        <v/>
      </c>
      <c r="C31" s="103" t="str">
        <f>IF(B31="","",VLOOKUP(A31,Journal!$C$7:$E$83,3))</f>
        <v/>
      </c>
      <c r="D31" s="106" t="str">
        <f>IF(B31="","",VLOOKUP(A31,Journal!$C$7:$J$83,8))</f>
        <v/>
      </c>
      <c r="E31" s="106" t="str">
        <f>IF(B31="","",VLOOKUP(A31,Journal!$C$7:$L$83,10))</f>
        <v/>
      </c>
      <c r="F31" s="101" t="str">
        <f>IF(B31="","",VLOOKUP(A31,Journal!$C$7:$M$83,11))</f>
        <v/>
      </c>
      <c r="G31" s="127">
        <f>IF(B31="Total",SUM(G$8:G30)+0.0001,IF(OR(B31="",M31=0),0,VLOOKUP(A31,Journal!$C$7:M$83,7)))</f>
        <v>0</v>
      </c>
      <c r="H31" s="127">
        <f>IF(B31="Total",SUM(H$8:H30)+0.0001,IF(OR(B31="",N31=0),0,VLOOKUP(A31,Journal!$C$7:M$83,7)))</f>
        <v>0</v>
      </c>
      <c r="I31" s="104">
        <f t="shared" si="1"/>
        <v>0</v>
      </c>
      <c r="J31" s="128"/>
      <c r="K31" s="244">
        <f>VLOOKUP(A31,Journal!$C$7:$M$83,4)</f>
        <v>0</v>
      </c>
      <c r="L31" s="245">
        <f>VLOOKUP(A31,Journal!$C$7:$M$83,5)</f>
        <v>0</v>
      </c>
      <c r="M31" s="245">
        <f t="shared" si="5"/>
        <v>0</v>
      </c>
      <c r="N31" s="245">
        <f t="shared" si="6"/>
        <v>0</v>
      </c>
      <c r="O31" s="200"/>
      <c r="P31" s="200">
        <f t="shared" si="7"/>
        <v>1.0000000000000001E-5</v>
      </c>
    </row>
    <row r="32" spans="1:18">
      <c r="A32">
        <f t="shared" si="4"/>
        <v>25</v>
      </c>
      <c r="B32" s="105" t="str">
        <f>IF(OR(B31="Total",B31=""),"",IF(VLOOKUP(A32,Journal!$C$7:$E$83,3)=0,"Total",VLOOKUP(A32,Journal!$C$7:$D$83,2)))</f>
        <v/>
      </c>
      <c r="C32" s="103" t="str">
        <f>IF(B32="","",VLOOKUP(A32,Journal!$C$7:$E$83,3))</f>
        <v/>
      </c>
      <c r="D32" s="106" t="str">
        <f>IF(B32="","",VLOOKUP(A32,Journal!$C$7:$J$83,8))</f>
        <v/>
      </c>
      <c r="E32" s="106" t="str">
        <f>IF(B32="","",VLOOKUP(A32,Journal!$C$7:$L$83,10))</f>
        <v/>
      </c>
      <c r="F32" s="101" t="str">
        <f>IF(B32="","",VLOOKUP(A32,Journal!$C$7:$M$83,11))</f>
        <v/>
      </c>
      <c r="G32" s="127">
        <f>IF(B32="Total",SUM(G$8:G31)+0.0001,IF(OR(B32="",M32=0),0,VLOOKUP(A32,Journal!$C$7:M$83,7)))</f>
        <v>0</v>
      </c>
      <c r="H32" s="127">
        <f>IF(B32="Total",SUM(H$8:H31)+0.0001,IF(OR(B32="",N32=0),0,VLOOKUP(A32,Journal!$C$7:M$83,7)))</f>
        <v>0</v>
      </c>
      <c r="I32" s="104">
        <f t="shared" si="1"/>
        <v>0</v>
      </c>
      <c r="J32" s="128"/>
      <c r="K32" s="244">
        <f>VLOOKUP(A32,Journal!$C$7:$M$83,4)</f>
        <v>0</v>
      </c>
      <c r="L32" s="245">
        <f>VLOOKUP(A32,Journal!$C$7:$M$83,5)</f>
        <v>0</v>
      </c>
      <c r="M32" s="245">
        <f t="shared" si="5"/>
        <v>0</v>
      </c>
      <c r="N32" s="245">
        <f t="shared" si="6"/>
        <v>0</v>
      </c>
      <c r="O32" s="200"/>
      <c r="P32" s="200">
        <f t="shared" si="7"/>
        <v>1.0000000000000001E-5</v>
      </c>
    </row>
    <row r="33" spans="1:16">
      <c r="A33">
        <f t="shared" si="4"/>
        <v>26</v>
      </c>
      <c r="B33" s="105" t="str">
        <f>IF(OR(B32="Total",B32=""),"",IF(VLOOKUP(A33,Journal!$C$7:$E$83,3)=0,"Total",VLOOKUP(A33,Journal!$C$7:$D$83,2)))</f>
        <v/>
      </c>
      <c r="C33" s="103" t="str">
        <f>IF(B33="","",VLOOKUP(A33,Journal!$C$7:$E$83,3))</f>
        <v/>
      </c>
      <c r="D33" s="106" t="str">
        <f>IF(B33="","",VLOOKUP(A33,Journal!$C$7:$J$83,8))</f>
        <v/>
      </c>
      <c r="E33" s="106" t="str">
        <f>IF(B33="","",VLOOKUP(A33,Journal!$C$7:$L$83,10))</f>
        <v/>
      </c>
      <c r="F33" s="101" t="str">
        <f>IF(B33="","",VLOOKUP(A33,Journal!$C$7:$M$83,11))</f>
        <v/>
      </c>
      <c r="G33" s="127">
        <f>IF(B33="Total",SUM(G$8:G32)+0.0001,IF(OR(B33="",M33=0),0,VLOOKUP(A33,Journal!$C$7:M$83,7)))</f>
        <v>0</v>
      </c>
      <c r="H33" s="127">
        <f>IF(B33="Total",SUM(H$8:H32)+0.0001,IF(OR(B33="",N33=0),0,VLOOKUP(A33,Journal!$C$7:M$83,7)))</f>
        <v>0</v>
      </c>
      <c r="I33" s="104">
        <f t="shared" si="1"/>
        <v>0</v>
      </c>
      <c r="J33" s="128"/>
      <c r="K33" s="244">
        <f>VLOOKUP(A33,Journal!$C$7:$M$83,4)</f>
        <v>0</v>
      </c>
      <c r="L33" s="245">
        <f>VLOOKUP(A33,Journal!$C$7:$M$83,5)</f>
        <v>0</v>
      </c>
      <c r="M33" s="245">
        <f t="shared" si="5"/>
        <v>0</v>
      </c>
      <c r="N33" s="245">
        <f t="shared" si="6"/>
        <v>0</v>
      </c>
      <c r="O33" s="200"/>
      <c r="P33" s="200">
        <f t="shared" si="7"/>
        <v>1.0000000000000001E-5</v>
      </c>
    </row>
    <row r="34" spans="1:16">
      <c r="A34">
        <f t="shared" si="4"/>
        <v>27</v>
      </c>
      <c r="B34" s="105" t="str">
        <f>IF(OR(B33="Total",B33=""),"",IF(VLOOKUP(A34,Journal!$C$7:$E$83,3)=0,"Total",VLOOKUP(A34,Journal!$C$7:$D$83,2)))</f>
        <v/>
      </c>
      <c r="C34" s="103" t="str">
        <f>IF(B34="","",VLOOKUP(A34,Journal!$C$7:$E$83,3))</f>
        <v/>
      </c>
      <c r="D34" s="106" t="str">
        <f>IF(B34="","",VLOOKUP(A34,Journal!$C$7:$J$83,8))</f>
        <v/>
      </c>
      <c r="E34" s="106" t="str">
        <f>IF(B34="","",VLOOKUP(A34,Journal!$C$7:$L$83,10))</f>
        <v/>
      </c>
      <c r="F34" s="101" t="str">
        <f>IF(B34="","",VLOOKUP(A34,Journal!$C$7:$M$83,11))</f>
        <v/>
      </c>
      <c r="G34" s="127">
        <f>IF(B34="Total",SUM(G$8:G33)+0.0001,IF(OR(B34="",M34=0),0,VLOOKUP(A34,Journal!$C$7:M$83,7)))</f>
        <v>0</v>
      </c>
      <c r="H34" s="127">
        <f>IF(B34="Total",SUM(H$8:H33)+0.0001,IF(OR(B34="",N34=0),0,VLOOKUP(A34,Journal!$C$7:M$83,7)))</f>
        <v>0</v>
      </c>
      <c r="I34" s="104">
        <f t="shared" si="1"/>
        <v>0</v>
      </c>
      <c r="J34" s="128"/>
      <c r="K34" s="244">
        <f>VLOOKUP(A34,Journal!$C$7:$M$83,4)</f>
        <v>0</v>
      </c>
      <c r="L34" s="245">
        <f>VLOOKUP(A34,Journal!$C$7:$M$83,5)</f>
        <v>0</v>
      </c>
      <c r="M34" s="245">
        <f t="shared" si="5"/>
        <v>0</v>
      </c>
      <c r="N34" s="245">
        <f t="shared" si="6"/>
        <v>0</v>
      </c>
      <c r="O34" s="200"/>
      <c r="P34" s="200">
        <f t="shared" si="7"/>
        <v>1.0000000000000001E-5</v>
      </c>
    </row>
    <row r="35" spans="1:16">
      <c r="A35">
        <f t="shared" si="4"/>
        <v>28</v>
      </c>
      <c r="B35" s="105" t="str">
        <f>IF(OR(B34="Total",B34=""),"",IF(VLOOKUP(A35,Journal!$C$7:$E$83,3)=0,"Total",VLOOKUP(A35,Journal!$C$7:$D$83,2)))</f>
        <v/>
      </c>
      <c r="C35" s="103" t="str">
        <f>IF(B35="","",VLOOKUP(A35,Journal!$C$7:$E$83,3))</f>
        <v/>
      </c>
      <c r="D35" s="106" t="str">
        <f>IF(B35="","",VLOOKUP(A35,Journal!$C$7:$J$83,8))</f>
        <v/>
      </c>
      <c r="E35" s="106" t="str">
        <f>IF(B35="","",VLOOKUP(A35,Journal!$C$7:$L$83,10))</f>
        <v/>
      </c>
      <c r="F35" s="101" t="str">
        <f>IF(B35="","",VLOOKUP(A35,Journal!$C$7:$M$83,11))</f>
        <v/>
      </c>
      <c r="G35" s="127">
        <f>IF(B35="Total",SUM(G$8:G34)+0.0001,IF(OR(B35="",M35=0),0,VLOOKUP(A35,Journal!$C$7:M$83,7)))</f>
        <v>0</v>
      </c>
      <c r="H35" s="127">
        <f>IF(B35="Total",SUM(H$8:H34)+0.0001,IF(OR(B35="",N35=0),0,VLOOKUP(A35,Journal!$C$7:M$83,7)))</f>
        <v>0</v>
      </c>
      <c r="I35" s="104">
        <f t="shared" si="1"/>
        <v>0</v>
      </c>
      <c r="J35" s="128"/>
      <c r="K35" s="244">
        <f>VLOOKUP(A35,Journal!$C$7:$M$83,4)</f>
        <v>0</v>
      </c>
      <c r="L35" s="245">
        <f>VLOOKUP(A35,Journal!$C$7:$M$83,5)</f>
        <v>0</v>
      </c>
      <c r="M35" s="245">
        <f t="shared" si="5"/>
        <v>0</v>
      </c>
      <c r="N35" s="245">
        <f t="shared" si="6"/>
        <v>0</v>
      </c>
      <c r="O35" s="200"/>
      <c r="P35" s="200">
        <f t="shared" si="7"/>
        <v>1.0000000000000001E-5</v>
      </c>
    </row>
    <row r="36" spans="1:16">
      <c r="A36">
        <f t="shared" si="4"/>
        <v>29</v>
      </c>
      <c r="B36" s="105" t="str">
        <f>IF(OR(B35="Total",B35=""),"",IF(VLOOKUP(A36,Journal!$C$7:$E$83,3)=0,"Total",VLOOKUP(A36,Journal!$C$7:$D$83,2)))</f>
        <v/>
      </c>
      <c r="C36" s="103" t="str">
        <f>IF(B36="","",VLOOKUP(A36,Journal!$C$7:$E$83,3))</f>
        <v/>
      </c>
      <c r="D36" s="106" t="str">
        <f>IF(B36="","",VLOOKUP(A36,Journal!$C$7:$J$83,8))</f>
        <v/>
      </c>
      <c r="E36" s="106" t="str">
        <f>IF(B36="","",VLOOKUP(A36,Journal!$C$7:$L$83,10))</f>
        <v/>
      </c>
      <c r="F36" s="101" t="str">
        <f>IF(B36="","",VLOOKUP(A36,Journal!$C$7:$M$83,11))</f>
        <v/>
      </c>
      <c r="G36" s="127">
        <f>IF(B36="Total",SUM(G$8:G35)+0.0001,IF(OR(B36="",M36=0),0,VLOOKUP(A36,Journal!$C$7:M$83,7)))</f>
        <v>0</v>
      </c>
      <c r="H36" s="127">
        <f>IF(B36="Total",SUM(H$8:H35)+0.0001,IF(OR(B36="",N36=0),0,VLOOKUP(A36,Journal!$C$7:M$83,7)))</f>
        <v>0</v>
      </c>
      <c r="I36" s="104">
        <f t="shared" si="1"/>
        <v>0</v>
      </c>
      <c r="J36" s="128"/>
      <c r="K36" s="244">
        <f>VLOOKUP(A36,Journal!$C$7:$M$83,4)</f>
        <v>0</v>
      </c>
      <c r="L36" s="245">
        <f>VLOOKUP(A36,Journal!$C$7:$M$83,5)</f>
        <v>0</v>
      </c>
      <c r="M36" s="245">
        <f t="shared" si="5"/>
        <v>0</v>
      </c>
      <c r="N36" s="245">
        <f t="shared" si="6"/>
        <v>0</v>
      </c>
      <c r="O36" s="200"/>
      <c r="P36" s="200">
        <f t="shared" si="7"/>
        <v>1.0000000000000001E-5</v>
      </c>
    </row>
    <row r="37" spans="1:16">
      <c r="A37">
        <f t="shared" si="4"/>
        <v>30</v>
      </c>
      <c r="B37" s="105" t="str">
        <f>IF(OR(B36="Total",B36=""),"",IF(VLOOKUP(A37,Journal!$C$7:$E$83,3)=0,"Total",VLOOKUP(A37,Journal!$C$7:$D$83,2)))</f>
        <v/>
      </c>
      <c r="C37" s="103" t="str">
        <f>IF(B37="","",VLOOKUP(A37,Journal!$C$7:$E$83,3))</f>
        <v/>
      </c>
      <c r="D37" s="106" t="str">
        <f>IF(B37="","",VLOOKUP(A37,Journal!$C$7:$J$83,8))</f>
        <v/>
      </c>
      <c r="E37" s="106" t="str">
        <f>IF(B37="","",VLOOKUP(A37,Journal!$C$7:$L$83,10))</f>
        <v/>
      </c>
      <c r="F37" s="101" t="str">
        <f>IF(B37="","",VLOOKUP(A37,Journal!$C$7:$M$83,11))</f>
        <v/>
      </c>
      <c r="G37" s="127">
        <f>IF(B37="Total",SUM(G$8:G36)+0.0001,IF(OR(B37="",M37=0),0,VLOOKUP(A37,Journal!$C$7:M$83,7)))</f>
        <v>0</v>
      </c>
      <c r="H37" s="127">
        <f>IF(B37="Total",SUM(H$8:H36)+0.0001,IF(OR(B37="",N37=0),0,VLOOKUP(A37,Journal!$C$7:M$83,7)))</f>
        <v>0</v>
      </c>
      <c r="I37" s="104">
        <f t="shared" si="1"/>
        <v>0</v>
      </c>
      <c r="J37" s="128"/>
      <c r="K37" s="244">
        <f>VLOOKUP(A37,Journal!$C$7:$M$83,4)</f>
        <v>0</v>
      </c>
      <c r="L37" s="245">
        <f>VLOOKUP(A37,Journal!$C$7:$M$83,5)</f>
        <v>0</v>
      </c>
      <c r="M37" s="245">
        <f t="shared" si="5"/>
        <v>0</v>
      </c>
      <c r="N37" s="245">
        <f t="shared" si="6"/>
        <v>0</v>
      </c>
      <c r="O37" s="200"/>
      <c r="P37" s="200">
        <f t="shared" si="7"/>
        <v>1.0000000000000001E-5</v>
      </c>
    </row>
    <row r="38" spans="1:16">
      <c r="A38">
        <f t="shared" si="4"/>
        <v>31</v>
      </c>
      <c r="B38" s="105" t="str">
        <f>IF(OR(B37="Total",B37=""),"",IF(VLOOKUP(A38,Journal!$C$7:$E$83,3)=0,"Total",VLOOKUP(A38,Journal!$C$7:$D$83,2)))</f>
        <v/>
      </c>
      <c r="C38" s="103" t="str">
        <f>IF(B38="","",VLOOKUP(A38,Journal!$C$7:$E$83,3))</f>
        <v/>
      </c>
      <c r="D38" s="106" t="str">
        <f>IF(B38="","",VLOOKUP(A38,Journal!$C$7:$J$83,8))</f>
        <v/>
      </c>
      <c r="E38" s="106" t="str">
        <f>IF(B38="","",VLOOKUP(A38,Journal!$C$7:$L$83,10))</f>
        <v/>
      </c>
      <c r="F38" s="101" t="str">
        <f>IF(B38="","",VLOOKUP(A38,Journal!$C$7:$M$83,11))</f>
        <v/>
      </c>
      <c r="G38" s="127">
        <f>IF(B38="Total",SUM(G$8:G37)+0.0001,IF(OR(B38="",M38=0),0,VLOOKUP(A38,Journal!$C$7:M$83,7)))</f>
        <v>0</v>
      </c>
      <c r="H38" s="127">
        <f>IF(B38="Total",SUM(H$8:H37)+0.0001,IF(OR(B38="",N38=0),0,VLOOKUP(A38,Journal!$C$7:M$83,7)))</f>
        <v>0</v>
      </c>
      <c r="I38" s="104">
        <f t="shared" si="1"/>
        <v>0</v>
      </c>
      <c r="J38" s="128"/>
      <c r="K38" s="244">
        <f>VLOOKUP(A38,Journal!$C$7:$M$83,4)</f>
        <v>0</v>
      </c>
      <c r="L38" s="245">
        <f>VLOOKUP(A38,Journal!$C$7:$M$83,5)</f>
        <v>0</v>
      </c>
      <c r="M38" s="245">
        <f t="shared" si="5"/>
        <v>0</v>
      </c>
      <c r="N38" s="245">
        <f t="shared" si="6"/>
        <v>0</v>
      </c>
      <c r="O38" s="200"/>
      <c r="P38" s="200">
        <f t="shared" si="7"/>
        <v>1.0000000000000001E-5</v>
      </c>
    </row>
    <row r="39" spans="1:16">
      <c r="A39">
        <f t="shared" si="4"/>
        <v>32</v>
      </c>
      <c r="B39" s="105" t="str">
        <f>IF(OR(B38="Total",B38=""),"",IF(VLOOKUP(A39,Journal!$C$7:$E$83,3)=0,"Total",VLOOKUP(A39,Journal!$C$7:$D$83,2)))</f>
        <v/>
      </c>
      <c r="C39" s="103" t="str">
        <f>IF(B39="","",VLOOKUP(A39,Journal!$C$7:$E$83,3))</f>
        <v/>
      </c>
      <c r="D39" s="106" t="str">
        <f>IF(B39="","",VLOOKUP(A39,Journal!$C$7:$J$83,8))</f>
        <v/>
      </c>
      <c r="E39" s="106" t="str">
        <f>IF(B39="","",VLOOKUP(A39,Journal!$C$7:$L$83,10))</f>
        <v/>
      </c>
      <c r="F39" s="101" t="str">
        <f>IF(B39="","",VLOOKUP(A39,Journal!$C$7:$M$83,11))</f>
        <v/>
      </c>
      <c r="G39" s="127">
        <f>IF(B39="Total",SUM(G$8:G38)+0.0001,IF(OR(B39="",M39=0),0,VLOOKUP(A39,Journal!$C$7:M$83,7)))</f>
        <v>0</v>
      </c>
      <c r="H39" s="127">
        <f>IF(B39="Total",SUM(H$8:H38)+0.0001,IF(OR(B39="",N39=0),0,VLOOKUP(A39,Journal!$C$7:M$83,7)))</f>
        <v>0</v>
      </c>
      <c r="I39" s="104">
        <f t="shared" si="1"/>
        <v>0</v>
      </c>
      <c r="J39" s="128"/>
      <c r="K39" s="244">
        <f>VLOOKUP(A39,Journal!$C$7:$M$83,4)</f>
        <v>0</v>
      </c>
      <c r="L39" s="245">
        <f>VLOOKUP(A39,Journal!$C$7:$M$83,5)</f>
        <v>0</v>
      </c>
      <c r="M39" s="245">
        <f t="shared" si="5"/>
        <v>0</v>
      </c>
      <c r="N39" s="245">
        <f t="shared" si="6"/>
        <v>0</v>
      </c>
      <c r="O39" s="200"/>
      <c r="P39" s="200">
        <f t="shared" si="7"/>
        <v>1.0000000000000001E-5</v>
      </c>
    </row>
    <row r="40" spans="1:16">
      <c r="A40">
        <f t="shared" si="4"/>
        <v>33</v>
      </c>
      <c r="B40" s="105" t="str">
        <f>IF(OR(B39="Total",B39=""),"",IF(VLOOKUP(A40,Journal!$C$7:$E$83,3)=0,"Total",VLOOKUP(A40,Journal!$C$7:$D$83,2)))</f>
        <v/>
      </c>
      <c r="C40" s="103" t="str">
        <f>IF(B40="","",VLOOKUP(A40,Journal!$C$7:$E$83,3))</f>
        <v/>
      </c>
      <c r="D40" s="106" t="str">
        <f>IF(B40="","",VLOOKUP(A40,Journal!$C$7:$J$83,8))</f>
        <v/>
      </c>
      <c r="E40" s="106" t="str">
        <f>IF(B40="","",VLOOKUP(A40,Journal!$C$7:$L$83,10))</f>
        <v/>
      </c>
      <c r="F40" s="101" t="str">
        <f>IF(B40="","",VLOOKUP(A40,Journal!$C$7:$M$83,11))</f>
        <v/>
      </c>
      <c r="G40" s="127">
        <f>IF(B40="Total",SUM(G$8:G39)+0.0001,IF(OR(B40="",M40=0),0,VLOOKUP(A40,Journal!$C$7:M$83,7)))</f>
        <v>0</v>
      </c>
      <c r="H40" s="127">
        <f>IF(B40="Total",SUM(H$8:H39)+0.0001,IF(OR(B40="",N40=0),0,VLOOKUP(A40,Journal!$C$7:M$83,7)))</f>
        <v>0</v>
      </c>
      <c r="I40" s="104">
        <f t="shared" si="1"/>
        <v>0</v>
      </c>
      <c r="J40" s="128"/>
      <c r="K40" s="244">
        <f>VLOOKUP(A40,Journal!$C$7:$M$83,4)</f>
        <v>0</v>
      </c>
      <c r="L40" s="245">
        <f>VLOOKUP(A40,Journal!$C$7:$M$83,5)</f>
        <v>0</v>
      </c>
      <c r="M40" s="245">
        <f t="shared" si="5"/>
        <v>0</v>
      </c>
      <c r="N40" s="245">
        <f t="shared" si="6"/>
        <v>0</v>
      </c>
      <c r="O40" s="200"/>
      <c r="P40" s="200">
        <f t="shared" si="7"/>
        <v>1.0000000000000001E-5</v>
      </c>
    </row>
    <row r="41" spans="1:16">
      <c r="A41">
        <f t="shared" si="4"/>
        <v>34</v>
      </c>
      <c r="B41" s="105" t="str">
        <f>IF(OR(B40="Total",B40=""),"",IF(VLOOKUP(A41,Journal!$C$7:$E$83,3)=0,"Total",VLOOKUP(A41,Journal!$C$7:$D$83,2)))</f>
        <v/>
      </c>
      <c r="C41" s="103" t="str">
        <f>IF(B41="","",VLOOKUP(A41,Journal!$C$7:$E$83,3))</f>
        <v/>
      </c>
      <c r="D41" s="106" t="str">
        <f>IF(B41="","",VLOOKUP(A41,Journal!$C$7:$J$83,8))</f>
        <v/>
      </c>
      <c r="E41" s="106" t="str">
        <f>IF(B41="","",VLOOKUP(A41,Journal!$C$7:$L$83,10))</f>
        <v/>
      </c>
      <c r="F41" s="101" t="str">
        <f>IF(B41="","",VLOOKUP(A41,Journal!$C$7:$M$83,11))</f>
        <v/>
      </c>
      <c r="G41" s="127">
        <f>IF(B41="Total",SUM(G$8:G40)+0.0001,IF(OR(B41="",M41=0),0,VLOOKUP(A41,Journal!$C$7:M$83,7)))</f>
        <v>0</v>
      </c>
      <c r="H41" s="127">
        <f>IF(B41="Total",SUM(H$8:H40)+0.0001,IF(OR(B41="",N41=0),0,VLOOKUP(A41,Journal!$C$7:M$83,7)))</f>
        <v>0</v>
      </c>
      <c r="I41" s="104">
        <f t="shared" si="1"/>
        <v>0</v>
      </c>
      <c r="J41" s="128"/>
      <c r="K41" s="244">
        <f>VLOOKUP(A41,Journal!$C$7:$M$83,4)</f>
        <v>0</v>
      </c>
      <c r="L41" s="245">
        <f>VLOOKUP(A41,Journal!$C$7:$M$83,5)</f>
        <v>0</v>
      </c>
      <c r="M41" s="245">
        <f t="shared" si="5"/>
        <v>0</v>
      </c>
      <c r="N41" s="245">
        <f t="shared" si="6"/>
        <v>0</v>
      </c>
      <c r="O41" s="200"/>
      <c r="P41" s="200">
        <f t="shared" si="7"/>
        <v>1.0000000000000001E-5</v>
      </c>
    </row>
    <row r="42" spans="1:16">
      <c r="A42">
        <f t="shared" si="4"/>
        <v>35</v>
      </c>
      <c r="B42" s="105" t="str">
        <f>IF(OR(B41="Total",B41=""),"",IF(VLOOKUP(A42,Journal!$C$7:$E$83,3)=0,"Total",VLOOKUP(A42,Journal!$C$7:$D$83,2)))</f>
        <v/>
      </c>
      <c r="C42" s="103" t="str">
        <f>IF(B42="","",VLOOKUP(A42,Journal!$C$7:$E$83,3))</f>
        <v/>
      </c>
      <c r="D42" s="106" t="str">
        <f>IF(B42="","",VLOOKUP(A42,Journal!$C$7:$J$83,8))</f>
        <v/>
      </c>
      <c r="E42" s="106" t="str">
        <f>IF(B42="","",VLOOKUP(A42,Journal!$C$7:$L$83,10))</f>
        <v/>
      </c>
      <c r="F42" s="101" t="str">
        <f>IF(B42="","",VLOOKUP(A42,Journal!$C$7:$M$83,11))</f>
        <v/>
      </c>
      <c r="G42" s="127">
        <f>IF(B42="Total",SUM(G$8:G41)+0.0001,IF(OR(B42="",M42=0),0,VLOOKUP(A42,Journal!$C$7:M$83,7)))</f>
        <v>0</v>
      </c>
      <c r="H42" s="127">
        <f>IF(B42="Total",SUM(H$8:H41)+0.0001,IF(OR(B42="",N42=0),0,VLOOKUP(A42,Journal!$C$7:M$83,7)))</f>
        <v>0</v>
      </c>
      <c r="I42" s="104">
        <f t="shared" si="1"/>
        <v>0</v>
      </c>
      <c r="J42" s="128"/>
      <c r="K42" s="244">
        <f>VLOOKUP(A42,Journal!$C$7:$M$83,4)</f>
        <v>0</v>
      </c>
      <c r="L42" s="245">
        <f>VLOOKUP(A42,Journal!$C$7:$M$83,5)</f>
        <v>0</v>
      </c>
      <c r="M42" s="245">
        <f t="shared" si="5"/>
        <v>0</v>
      </c>
      <c r="N42" s="245">
        <f t="shared" si="6"/>
        <v>0</v>
      </c>
      <c r="O42" s="200"/>
      <c r="P42" s="200">
        <f t="shared" si="7"/>
        <v>1.0000000000000001E-5</v>
      </c>
    </row>
    <row r="43" spans="1:16">
      <c r="A43">
        <f t="shared" si="4"/>
        <v>36</v>
      </c>
      <c r="B43" s="105" t="str">
        <f>IF(OR(B42="Total",B42=""),"",IF(VLOOKUP(A43,Journal!$C$7:$E$83,3)=0,"Total",VLOOKUP(A43,Journal!$C$7:$D$83,2)))</f>
        <v/>
      </c>
      <c r="C43" s="103" t="str">
        <f>IF(B43="","",VLOOKUP(A43,Journal!$C$7:$E$83,3))</f>
        <v/>
      </c>
      <c r="D43" s="106" t="str">
        <f>IF(B43="","",VLOOKUP(A43,Journal!$C$7:$J$83,8))</f>
        <v/>
      </c>
      <c r="E43" s="106" t="str">
        <f>IF(B43="","",VLOOKUP(A43,Journal!$C$7:$L$83,10))</f>
        <v/>
      </c>
      <c r="F43" s="101" t="str">
        <f>IF(B43="","",VLOOKUP(A43,Journal!$C$7:$M$83,11))</f>
        <v/>
      </c>
      <c r="G43" s="127">
        <f>IF(B43="Total",SUM(G$8:G42)+0.0001,IF(OR(B43="",M43=0),0,VLOOKUP(A43,Journal!$C$7:M$83,7)))</f>
        <v>0</v>
      </c>
      <c r="H43" s="127">
        <f>IF(B43="Total",SUM(H$8:H42)+0.0001,IF(OR(B43="",N43=0),0,VLOOKUP(A43,Journal!$C$7:M$83,7)))</f>
        <v>0</v>
      </c>
      <c r="I43" s="104">
        <f t="shared" si="1"/>
        <v>0</v>
      </c>
      <c r="J43" s="128"/>
      <c r="K43" s="244">
        <f>VLOOKUP(A43,Journal!$C$7:$M$83,4)</f>
        <v>0</v>
      </c>
      <c r="L43" s="245">
        <f>VLOOKUP(A43,Journal!$C$7:$M$83,5)</f>
        <v>0</v>
      </c>
      <c r="M43" s="245">
        <f t="shared" si="5"/>
        <v>0</v>
      </c>
      <c r="N43" s="245">
        <f t="shared" si="6"/>
        <v>0</v>
      </c>
      <c r="O43" s="200"/>
      <c r="P43" s="200">
        <f t="shared" si="7"/>
        <v>1.0000000000000001E-5</v>
      </c>
    </row>
    <row r="44" spans="1:16">
      <c r="A44">
        <f t="shared" si="4"/>
        <v>37</v>
      </c>
      <c r="B44" s="105" t="str">
        <f>IF(OR(B43="Total",B43=""),"",IF(VLOOKUP(A44,Journal!$C$7:$E$83,3)=0,"Total",VLOOKUP(A44,Journal!$C$7:$D$83,2)))</f>
        <v/>
      </c>
      <c r="C44" s="103" t="str">
        <f>IF(B44="","",VLOOKUP(A44,Journal!$C$7:$E$83,3))</f>
        <v/>
      </c>
      <c r="D44" s="106" t="str">
        <f>IF(B44="","",VLOOKUP(A44,Journal!$C$7:$J$83,8))</f>
        <v/>
      </c>
      <c r="E44" s="106" t="str">
        <f>IF(B44="","",VLOOKUP(A44,Journal!$C$7:$L$83,10))</f>
        <v/>
      </c>
      <c r="F44" s="101" t="str">
        <f>IF(B44="","",VLOOKUP(A44,Journal!$C$7:$M$83,11))</f>
        <v/>
      </c>
      <c r="G44" s="127">
        <f>IF(B44="Total",SUM(G$8:G43)+0.0001,IF(OR(B44="",M44=0),0,VLOOKUP(A44,Journal!$C$7:M$83,7)))</f>
        <v>0</v>
      </c>
      <c r="H44" s="127">
        <f>IF(B44="Total",SUM(H$8:H43)+0.0001,IF(OR(B44="",N44=0),0,VLOOKUP(A44,Journal!$C$7:M$83,7)))</f>
        <v>0</v>
      </c>
      <c r="I44" s="104">
        <f t="shared" si="1"/>
        <v>0</v>
      </c>
      <c r="J44" s="128"/>
      <c r="K44" s="244">
        <f>VLOOKUP(A44,Journal!$C$7:$M$83,4)</f>
        <v>0</v>
      </c>
      <c r="L44" s="245">
        <f>VLOOKUP(A44,Journal!$C$7:$M$83,5)</f>
        <v>0</v>
      </c>
      <c r="M44" s="245">
        <f t="shared" si="5"/>
        <v>0</v>
      </c>
      <c r="N44" s="245">
        <f t="shared" si="6"/>
        <v>0</v>
      </c>
      <c r="O44" s="200"/>
      <c r="P44" s="200">
        <f t="shared" si="7"/>
        <v>1.0000000000000001E-5</v>
      </c>
    </row>
    <row r="45" spans="1:16">
      <c r="A45">
        <f t="shared" si="4"/>
        <v>38</v>
      </c>
      <c r="B45" s="105" t="str">
        <f>IF(OR(B44="Total",B44=""),"",IF(VLOOKUP(A45,Journal!$C$7:$E$83,3)=0,"Total",VLOOKUP(A45,Journal!$C$7:$D$83,2)))</f>
        <v/>
      </c>
      <c r="C45" s="103" t="str">
        <f>IF(B45="","",VLOOKUP(A45,Journal!$C$7:$E$83,3))</f>
        <v/>
      </c>
      <c r="D45" s="106" t="str">
        <f>IF(B45="","",VLOOKUP(A45,Journal!$C$7:$J$83,8))</f>
        <v/>
      </c>
      <c r="E45" s="106" t="str">
        <f>IF(B45="","",VLOOKUP(A45,Journal!$C$7:$L$83,10))</f>
        <v/>
      </c>
      <c r="F45" s="101" t="str">
        <f>IF(B45="","",VLOOKUP(A45,Journal!$C$7:$M$83,11))</f>
        <v/>
      </c>
      <c r="G45" s="127">
        <f>IF(B45="Total",SUM(G$8:G44)+0.0001,IF(OR(B45="",M45=0),0,VLOOKUP(A45,Journal!$C$7:M$83,7)))</f>
        <v>0</v>
      </c>
      <c r="H45" s="127">
        <f>IF(B45="Total",SUM(H$8:H44)+0.0001,IF(OR(B45="",N45=0),0,VLOOKUP(A45,Journal!$C$7:M$83,7)))</f>
        <v>0</v>
      </c>
      <c r="I45" s="104">
        <f t="shared" si="1"/>
        <v>0</v>
      </c>
      <c r="J45" s="128"/>
      <c r="K45" s="244">
        <f>VLOOKUP(A45,Journal!$C$7:$M$83,4)</f>
        <v>0</v>
      </c>
      <c r="L45" s="245">
        <f>VLOOKUP(A45,Journal!$C$7:$M$83,5)</f>
        <v>0</v>
      </c>
      <c r="M45" s="245">
        <f t="shared" si="5"/>
        <v>0</v>
      </c>
      <c r="N45" s="245">
        <f t="shared" si="6"/>
        <v>0</v>
      </c>
      <c r="O45" s="200"/>
      <c r="P45" s="200">
        <f t="shared" si="7"/>
        <v>1.0000000000000001E-5</v>
      </c>
    </row>
    <row r="46" spans="1:16">
      <c r="A46">
        <f t="shared" si="4"/>
        <v>39</v>
      </c>
      <c r="B46" s="105" t="str">
        <f>IF(OR(B45="Total",B45=""),"",IF(VLOOKUP(A46,Journal!$C$7:$E$83,3)=0,"Total",VLOOKUP(A46,Journal!$C$7:$D$83,2)))</f>
        <v/>
      </c>
      <c r="C46" s="103" t="str">
        <f>IF(B46="","",VLOOKUP(A46,Journal!$C$7:$E$83,3))</f>
        <v/>
      </c>
      <c r="D46" s="106" t="str">
        <f>IF(B46="","",VLOOKUP(A46,Journal!$C$7:$J$83,8))</f>
        <v/>
      </c>
      <c r="E46" s="106" t="str">
        <f>IF(B46="","",VLOOKUP(A46,Journal!$C$7:$L$83,10))</f>
        <v/>
      </c>
      <c r="F46" s="101" t="str">
        <f>IF(B46="","",VLOOKUP(A46,Journal!$C$7:$M$83,11))</f>
        <v/>
      </c>
      <c r="G46" s="127">
        <f>IF(B46="Total",SUM(G$8:G45)+0.0001,IF(OR(B46="",M46=0),0,VLOOKUP(A46,Journal!$C$7:M$83,7)))</f>
        <v>0</v>
      </c>
      <c r="H46" s="127">
        <f>IF(B46="Total",SUM(H$8:H45)+0.0001,IF(OR(B46="",N46=0),0,VLOOKUP(A46,Journal!$C$7:M$83,7)))</f>
        <v>0</v>
      </c>
      <c r="I46" s="104">
        <f t="shared" si="1"/>
        <v>0</v>
      </c>
      <c r="J46" s="128"/>
      <c r="K46" s="244">
        <f>VLOOKUP(A46,Journal!$C$7:$M$83,4)</f>
        <v>0</v>
      </c>
      <c r="L46" s="245">
        <f>VLOOKUP(A46,Journal!$C$7:$M$83,5)</f>
        <v>0</v>
      </c>
      <c r="M46" s="245">
        <f t="shared" si="5"/>
        <v>0</v>
      </c>
      <c r="N46" s="245">
        <f t="shared" si="6"/>
        <v>0</v>
      </c>
      <c r="O46" s="200"/>
      <c r="P46" s="200">
        <f t="shared" si="7"/>
        <v>1.0000000000000001E-5</v>
      </c>
    </row>
    <row r="47" spans="1:16">
      <c r="A47">
        <f t="shared" si="4"/>
        <v>40</v>
      </c>
      <c r="B47" s="105" t="str">
        <f>IF(OR(B46="Total",B46=""),"",IF(VLOOKUP(A47,Journal!$C$7:$E$83,3)=0,"Total",VLOOKUP(A47,Journal!$C$7:$D$83,2)))</f>
        <v/>
      </c>
      <c r="C47" s="103" t="str">
        <f>IF(B47="","",VLOOKUP(A47,Journal!$C$7:$E$83,3))</f>
        <v/>
      </c>
      <c r="D47" s="106" t="str">
        <f>IF(B47="","",VLOOKUP(A47,Journal!$C$7:$J$83,8))</f>
        <v/>
      </c>
      <c r="E47" s="106" t="str">
        <f>IF(B47="","",VLOOKUP(A47,Journal!$C$7:$L$83,10))</f>
        <v/>
      </c>
      <c r="F47" s="101" t="str">
        <f>IF(B47="","",VLOOKUP(A47,Journal!$C$7:$M$83,11))</f>
        <v/>
      </c>
      <c r="G47" s="127">
        <f>IF(B47="Total",SUM(G$8:G46)+0.0001,IF(OR(B47="",M47=0),0,VLOOKUP(A47,Journal!$C$7:M$83,7)))</f>
        <v>0</v>
      </c>
      <c r="H47" s="127">
        <f>IF(B47="Total",SUM(H$8:H46)+0.0001,IF(OR(B47="",N47=0),0,VLOOKUP(A47,Journal!$C$7:M$83,7)))</f>
        <v>0</v>
      </c>
      <c r="I47" s="104">
        <f t="shared" si="1"/>
        <v>0</v>
      </c>
      <c r="J47" s="128"/>
      <c r="K47" s="244">
        <f>VLOOKUP(A47,Journal!$C$7:$M$83,4)</f>
        <v>0</v>
      </c>
      <c r="L47" s="245">
        <f>VLOOKUP(A47,Journal!$C$7:$M$83,5)</f>
        <v>0</v>
      </c>
      <c r="M47" s="245">
        <f t="shared" si="5"/>
        <v>0</v>
      </c>
      <c r="N47" s="245">
        <f t="shared" si="6"/>
        <v>0</v>
      </c>
      <c r="O47" s="200"/>
      <c r="P47" s="200">
        <f t="shared" si="7"/>
        <v>1.0000000000000001E-5</v>
      </c>
    </row>
    <row r="48" spans="1:16">
      <c r="A48">
        <f t="shared" si="4"/>
        <v>41</v>
      </c>
      <c r="B48" s="105" t="str">
        <f>IF(OR(B47="Total",B47=""),"",IF(VLOOKUP(A48,Journal!$C$7:$E$83,3)=0,"Total",VLOOKUP(A48,Journal!$C$7:$D$83,2)))</f>
        <v/>
      </c>
      <c r="C48" s="103" t="str">
        <f>IF(B48="","",VLOOKUP(A48,Journal!$C$7:$E$83,3))</f>
        <v/>
      </c>
      <c r="D48" s="106" t="str">
        <f>IF(B48="","",VLOOKUP(A48,Journal!$C$7:$J$83,8))</f>
        <v/>
      </c>
      <c r="E48" s="106" t="str">
        <f>IF(B48="","",VLOOKUP(A48,Journal!$C$7:$L$83,10))</f>
        <v/>
      </c>
      <c r="F48" s="101" t="str">
        <f>IF(B48="","",VLOOKUP(A48,Journal!$C$7:$M$83,11))</f>
        <v/>
      </c>
      <c r="G48" s="127">
        <f>IF(B48="Total",SUM(G$8:G47)+0.0001,IF(OR(B48="",M48=0),0,VLOOKUP(A48,Journal!$C$7:M$83,7)))</f>
        <v>0</v>
      </c>
      <c r="H48" s="127">
        <f>IF(B48="Total",SUM(H$8:H47)+0.0001,IF(OR(B48="",N48=0),0,VLOOKUP(A48,Journal!$C$7:M$83,7)))</f>
        <v>0</v>
      </c>
      <c r="I48" s="104">
        <f t="shared" si="1"/>
        <v>0</v>
      </c>
      <c r="J48" s="128"/>
      <c r="K48" s="244">
        <f>VLOOKUP(A48,Journal!$C$7:$M$83,4)</f>
        <v>0</v>
      </c>
      <c r="L48" s="245">
        <f>VLOOKUP(A48,Journal!$C$7:$M$83,5)</f>
        <v>0</v>
      </c>
      <c r="M48" s="245">
        <f t="shared" si="5"/>
        <v>0</v>
      </c>
      <c r="N48" s="245">
        <f t="shared" si="6"/>
        <v>0</v>
      </c>
      <c r="O48" s="200"/>
      <c r="P48" s="200">
        <f t="shared" si="7"/>
        <v>1.0000000000000001E-5</v>
      </c>
    </row>
    <row r="49" spans="1:16">
      <c r="A49">
        <f t="shared" si="4"/>
        <v>42</v>
      </c>
      <c r="B49" s="105" t="str">
        <f>IF(OR(B48="Total",B48=""),"",IF(VLOOKUP(A49,Journal!$C$7:$E$83,3)=0,"Total",VLOOKUP(A49,Journal!$C$7:$D$83,2)))</f>
        <v/>
      </c>
      <c r="C49" s="103" t="str">
        <f>IF(B49="","",VLOOKUP(A49,Journal!$C$7:$E$83,3))</f>
        <v/>
      </c>
      <c r="D49" s="106" t="str">
        <f>IF(B49="","",VLOOKUP(A49,Journal!$C$7:$J$83,8))</f>
        <v/>
      </c>
      <c r="E49" s="106" t="str">
        <f>IF(B49="","",VLOOKUP(A49,Journal!$C$7:$L$83,10))</f>
        <v/>
      </c>
      <c r="F49" s="101" t="str">
        <f>IF(B49="","",VLOOKUP(A49,Journal!$C$7:$M$83,11))</f>
        <v/>
      </c>
      <c r="G49" s="127">
        <f>IF(B49="Total",SUM(G$8:G48)+0.0001,IF(OR(B49="",M49=0),0,VLOOKUP(A49,Journal!$C$7:M$83,7)))</f>
        <v>0</v>
      </c>
      <c r="H49" s="127">
        <f>IF(B49="Total",SUM(H$8:H48)+0.0001,IF(OR(B49="",N49=0),0,VLOOKUP(A49,Journal!$C$7:M$83,7)))</f>
        <v>0</v>
      </c>
      <c r="I49" s="104">
        <f t="shared" si="1"/>
        <v>0</v>
      </c>
      <c r="J49" s="128"/>
      <c r="K49" s="244">
        <f>VLOOKUP(A49,Journal!$C$7:$M$83,4)</f>
        <v>0</v>
      </c>
      <c r="L49" s="245">
        <f>VLOOKUP(A49,Journal!$C$7:$M$83,5)</f>
        <v>0</v>
      </c>
      <c r="M49" s="245">
        <f t="shared" si="5"/>
        <v>0</v>
      </c>
      <c r="N49" s="245">
        <f t="shared" si="6"/>
        <v>0</v>
      </c>
      <c r="O49" s="200"/>
      <c r="P49" s="200">
        <f t="shared" si="7"/>
        <v>1.0000000000000001E-5</v>
      </c>
    </row>
    <row r="50" spans="1:16">
      <c r="A50">
        <f t="shared" si="4"/>
        <v>43</v>
      </c>
      <c r="B50" s="105" t="str">
        <f>IF(OR(B49="Total",B49=""),"",IF(VLOOKUP(A50,Journal!$C$7:$E$83,3)=0,"Total",VLOOKUP(A50,Journal!$C$7:$D$83,2)))</f>
        <v/>
      </c>
      <c r="C50" s="103" t="str">
        <f>IF(B50="","",VLOOKUP(A50,Journal!$C$7:$E$83,3))</f>
        <v/>
      </c>
      <c r="D50" s="106" t="str">
        <f>IF(B50="","",VLOOKUP(A50,Journal!$C$7:$J$83,8))</f>
        <v/>
      </c>
      <c r="E50" s="106" t="str">
        <f>IF(B50="","",VLOOKUP(A50,Journal!$C$7:$L$83,10))</f>
        <v/>
      </c>
      <c r="F50" s="101" t="str">
        <f>IF(B50="","",VLOOKUP(A50,Journal!$C$7:$M$83,11))</f>
        <v/>
      </c>
      <c r="G50" s="127">
        <f>IF(B50="Total",SUM(G$8:G49)+0.0001,IF(OR(B50="",M50=0),0,VLOOKUP(A50,Journal!$C$7:M$83,7)))</f>
        <v>0</v>
      </c>
      <c r="H50" s="127">
        <f>IF(B50="Total",SUM(H$8:H49)+0.0001,IF(OR(B50="",N50=0),0,VLOOKUP(A50,Journal!$C$7:M$83,7)))</f>
        <v>0</v>
      </c>
      <c r="I50" s="104">
        <f t="shared" si="1"/>
        <v>0</v>
      </c>
      <c r="J50" s="128"/>
      <c r="K50" s="244">
        <f>VLOOKUP(A50,Journal!$C$7:$M$83,4)</f>
        <v>0</v>
      </c>
      <c r="L50" s="245">
        <f>VLOOKUP(A50,Journal!$C$7:$M$83,5)</f>
        <v>0</v>
      </c>
      <c r="M50" s="245">
        <f t="shared" si="5"/>
        <v>0</v>
      </c>
      <c r="N50" s="245">
        <f t="shared" si="6"/>
        <v>0</v>
      </c>
      <c r="O50" s="200"/>
      <c r="P50" s="200">
        <f t="shared" si="7"/>
        <v>1.0000000000000001E-5</v>
      </c>
    </row>
    <row r="51" spans="1:16">
      <c r="A51">
        <f t="shared" si="4"/>
        <v>44</v>
      </c>
      <c r="B51" s="105" t="str">
        <f>IF(OR(B50="Total",B50=""),"",IF(VLOOKUP(A51,Journal!$C$7:$E$83,3)=0,"Total",VLOOKUP(A51,Journal!$C$7:$D$83,2)))</f>
        <v/>
      </c>
      <c r="C51" s="103" t="str">
        <f>IF(B51="","",VLOOKUP(A51,Journal!$C$7:$E$83,3))</f>
        <v/>
      </c>
      <c r="D51" s="106" t="str">
        <f>IF(B51="","",VLOOKUP(A51,Journal!$C$7:$J$83,8))</f>
        <v/>
      </c>
      <c r="E51" s="106" t="str">
        <f>IF(B51="","",VLOOKUP(A51,Journal!$C$7:$L$83,10))</f>
        <v/>
      </c>
      <c r="F51" s="101" t="str">
        <f>IF(B51="","",VLOOKUP(A51,Journal!$C$7:$M$83,11))</f>
        <v/>
      </c>
      <c r="G51" s="127">
        <f>IF(B51="Total",SUM(G$8:G50)+0.0001,IF(OR(B51="",M51=0),0,VLOOKUP(A51,Journal!$C$7:M$83,7)))</f>
        <v>0</v>
      </c>
      <c r="H51" s="127">
        <f>IF(B51="Total",SUM(H$8:H50)+0.0001,IF(OR(B51="",N51=0),0,VLOOKUP(A51,Journal!$C$7:M$83,7)))</f>
        <v>0</v>
      </c>
      <c r="I51" s="104">
        <f t="shared" si="1"/>
        <v>0</v>
      </c>
      <c r="J51" s="128"/>
      <c r="K51" s="244">
        <f>VLOOKUP(A51,Journal!$C$7:$M$83,4)</f>
        <v>0</v>
      </c>
      <c r="L51" s="245">
        <f>VLOOKUP(A51,Journal!$C$7:$M$83,5)</f>
        <v>0</v>
      </c>
      <c r="M51" s="245">
        <f t="shared" si="5"/>
        <v>0</v>
      </c>
      <c r="N51" s="245">
        <f t="shared" si="6"/>
        <v>0</v>
      </c>
      <c r="O51" s="200"/>
      <c r="P51" s="200">
        <f t="shared" si="7"/>
        <v>1.0000000000000001E-5</v>
      </c>
    </row>
    <row r="52" spans="1:16">
      <c r="A52">
        <f t="shared" si="4"/>
        <v>45</v>
      </c>
      <c r="B52" s="105" t="str">
        <f>IF(OR(B51="Total",B51=""),"",IF(VLOOKUP(A52,Journal!$C$7:$E$83,3)=0,"Total",VLOOKUP(A52,Journal!$C$7:$D$83,2)))</f>
        <v/>
      </c>
      <c r="C52" s="103" t="str">
        <f>IF(B52="","",VLOOKUP(A52,Journal!$C$7:$E$83,3))</f>
        <v/>
      </c>
      <c r="D52" s="106" t="str">
        <f>IF(B52="","",VLOOKUP(A52,Journal!$C$7:$J$83,8))</f>
        <v/>
      </c>
      <c r="E52" s="106" t="str">
        <f>IF(B52="","",VLOOKUP(A52,Journal!$C$7:$L$83,10))</f>
        <v/>
      </c>
      <c r="F52" s="101" t="str">
        <f>IF(B52="","",VLOOKUP(A52,Journal!$C$7:$M$83,11))</f>
        <v/>
      </c>
      <c r="G52" s="127">
        <f>IF(B52="Total",SUM(G$8:G51)+0.0001,IF(OR(B52="",M52=0),0,VLOOKUP(A52,Journal!$C$7:M$83,7)))</f>
        <v>0</v>
      </c>
      <c r="H52" s="127">
        <f>IF(B52="Total",SUM(H$8:H51)+0.0001,IF(OR(B52="",N52=0),0,VLOOKUP(A52,Journal!$C$7:M$83,7)))</f>
        <v>0</v>
      </c>
      <c r="I52" s="104">
        <f t="shared" si="1"/>
        <v>0</v>
      </c>
      <c r="J52" s="128"/>
      <c r="K52" s="244">
        <f>VLOOKUP(A52,Journal!$C$7:$M$83,4)</f>
        <v>0</v>
      </c>
      <c r="L52" s="245">
        <f>VLOOKUP(A52,Journal!$C$7:$M$83,5)</f>
        <v>0</v>
      </c>
      <c r="M52" s="245">
        <f t="shared" si="5"/>
        <v>0</v>
      </c>
      <c r="N52" s="245">
        <f t="shared" si="6"/>
        <v>0</v>
      </c>
      <c r="O52" s="200"/>
      <c r="P52" s="200">
        <f t="shared" si="7"/>
        <v>1.0000000000000001E-5</v>
      </c>
    </row>
    <row r="53" spans="1:16">
      <c r="A53">
        <f t="shared" si="4"/>
        <v>46</v>
      </c>
      <c r="B53" s="105" t="str">
        <f>IF(OR(B52="Total",B52=""),"",IF(VLOOKUP(A53,Journal!$C$7:$E$83,3)=0,"Total",VLOOKUP(A53,Journal!$C$7:$D$83,2)))</f>
        <v/>
      </c>
      <c r="C53" s="103" t="str">
        <f>IF(B53="","",VLOOKUP(A53,Journal!$C$7:$E$83,3))</f>
        <v/>
      </c>
      <c r="D53" s="106" t="str">
        <f>IF(B53="","",VLOOKUP(A53,Journal!$C$7:$J$83,8))</f>
        <v/>
      </c>
      <c r="E53" s="106" t="str">
        <f>IF(B53="","",VLOOKUP(A53,Journal!$C$7:$L$83,10))</f>
        <v/>
      </c>
      <c r="F53" s="101" t="str">
        <f>IF(B53="","",VLOOKUP(A53,Journal!$C$7:$M$83,11))</f>
        <v/>
      </c>
      <c r="G53" s="127">
        <f>IF(B53="Total",SUM(G$8:G52)+0.0001,IF(OR(B53="",M53=0),0,VLOOKUP(A53,Journal!$C$7:M$83,7)))</f>
        <v>0</v>
      </c>
      <c r="H53" s="127">
        <f>IF(B53="Total",SUM(H$8:H52)+0.0001,IF(OR(B53="",N53=0),0,VLOOKUP(A53,Journal!$C$7:M$83,7)))</f>
        <v>0</v>
      </c>
      <c r="I53" s="104">
        <f t="shared" si="1"/>
        <v>0</v>
      </c>
      <c r="J53" s="128"/>
      <c r="K53" s="244">
        <f>VLOOKUP(A53,Journal!$C$7:$M$83,4)</f>
        <v>0</v>
      </c>
      <c r="L53" s="245">
        <f>VLOOKUP(A53,Journal!$C$7:$M$83,5)</f>
        <v>0</v>
      </c>
      <c r="M53" s="245">
        <f t="shared" si="5"/>
        <v>0</v>
      </c>
      <c r="N53" s="245">
        <f t="shared" si="6"/>
        <v>0</v>
      </c>
      <c r="O53" s="200"/>
      <c r="P53" s="200">
        <f t="shared" si="7"/>
        <v>1.0000000000000001E-5</v>
      </c>
    </row>
    <row r="54" spans="1:16">
      <c r="A54">
        <f t="shared" si="4"/>
        <v>47</v>
      </c>
      <c r="B54" s="105" t="str">
        <f>IF(OR(B53="Total",B53=""),"",IF(VLOOKUP(A54,Journal!$C$7:$E$83,3)=0,"Total",VLOOKUP(A54,Journal!$C$7:$D$83,2)))</f>
        <v/>
      </c>
      <c r="C54" s="103" t="str">
        <f>IF(B54="","",VLOOKUP(A54,Journal!$C$7:$E$83,3))</f>
        <v/>
      </c>
      <c r="D54" s="106" t="str">
        <f>IF(B54="","",VLOOKUP(A54,Journal!$C$7:$J$83,8))</f>
        <v/>
      </c>
      <c r="E54" s="106" t="str">
        <f>IF(B54="","",VLOOKUP(A54,Journal!$C$7:$L$83,10))</f>
        <v/>
      </c>
      <c r="F54" s="101" t="str">
        <f>IF(B54="","",VLOOKUP(A54,Journal!$C$7:$M$83,11))</f>
        <v/>
      </c>
      <c r="G54" s="127">
        <f>IF(B54="Total",SUM(G$8:G53)+0.0001,IF(OR(B54="",M54=0),0,VLOOKUP(A54,Journal!$C$7:M$83,7)))</f>
        <v>0</v>
      </c>
      <c r="H54" s="127">
        <f>IF(B54="Total",SUM(H$8:H53)+0.0001,IF(OR(B54="",N54=0),0,VLOOKUP(A54,Journal!$C$7:M$83,7)))</f>
        <v>0</v>
      </c>
      <c r="I54" s="104">
        <f t="shared" si="1"/>
        <v>0</v>
      </c>
      <c r="J54" s="128"/>
      <c r="K54" s="244">
        <f>VLOOKUP(A54,Journal!$C$7:$M$83,4)</f>
        <v>0</v>
      </c>
      <c r="L54" s="245">
        <f>VLOOKUP(A54,Journal!$C$7:$M$83,5)</f>
        <v>0</v>
      </c>
      <c r="M54" s="245">
        <f t="shared" si="5"/>
        <v>0</v>
      </c>
      <c r="N54" s="245">
        <f t="shared" si="6"/>
        <v>0</v>
      </c>
      <c r="O54" s="200"/>
      <c r="P54" s="200">
        <f t="shared" si="7"/>
        <v>1.0000000000000001E-5</v>
      </c>
    </row>
    <row r="55" spans="1:16">
      <c r="A55">
        <f t="shared" si="4"/>
        <v>48</v>
      </c>
      <c r="B55" s="105" t="str">
        <f>IF(OR(B54="Total",B54=""),"",IF(VLOOKUP(A55,Journal!$C$7:$E$83,3)=0,"Total",VLOOKUP(A55,Journal!$C$7:$D$83,2)))</f>
        <v/>
      </c>
      <c r="C55" s="103" t="str">
        <f>IF(B55="","",VLOOKUP(A55,Journal!$C$7:$E$83,3))</f>
        <v/>
      </c>
      <c r="D55" s="106" t="str">
        <f>IF(B55="","",VLOOKUP(A55,Journal!$C$7:$J$83,8))</f>
        <v/>
      </c>
      <c r="E55" s="106" t="str">
        <f>IF(B55="","",VLOOKUP(A55,Journal!$C$7:$L$83,10))</f>
        <v/>
      </c>
      <c r="F55" s="101" t="str">
        <f>IF(B55="","",VLOOKUP(A55,Journal!$C$7:$M$83,11))</f>
        <v/>
      </c>
      <c r="G55" s="127">
        <f>IF(B55="Total",SUM(G$8:G54)+0.0001,IF(OR(B55="",M55=0),0,VLOOKUP(A55,Journal!$C$7:M$83,7)))</f>
        <v>0</v>
      </c>
      <c r="H55" s="127">
        <f>IF(B55="Total",SUM(H$8:H54)+0.0001,IF(OR(B55="",N55=0),0,VLOOKUP(A55,Journal!$C$7:M$83,7)))</f>
        <v>0</v>
      </c>
      <c r="I55" s="104">
        <f t="shared" si="1"/>
        <v>0</v>
      </c>
      <c r="J55" s="128"/>
      <c r="K55" s="244">
        <f>VLOOKUP(A55,Journal!$C$7:$M$83,4)</f>
        <v>0</v>
      </c>
      <c r="L55" s="245">
        <f>VLOOKUP(A55,Journal!$C$7:$M$83,5)</f>
        <v>0</v>
      </c>
      <c r="M55" s="245">
        <f t="shared" si="5"/>
        <v>0</v>
      </c>
      <c r="N55" s="245">
        <f t="shared" si="6"/>
        <v>0</v>
      </c>
      <c r="O55" s="200"/>
      <c r="P55" s="200">
        <f t="shared" si="7"/>
        <v>1.0000000000000001E-5</v>
      </c>
    </row>
    <row r="56" spans="1:16">
      <c r="A56">
        <f t="shared" si="4"/>
        <v>49</v>
      </c>
      <c r="B56" s="105" t="str">
        <f>IF(OR(B55="Total",B55=""),"",IF(VLOOKUP(A56,Journal!$C$7:$E$83,3)=0,"Total",VLOOKUP(A56,Journal!$C$7:$D$83,2)))</f>
        <v/>
      </c>
      <c r="C56" s="103" t="str">
        <f>IF(B56="","",VLOOKUP(A56,Journal!$C$7:$E$83,3))</f>
        <v/>
      </c>
      <c r="D56" s="106" t="str">
        <f>IF(B56="","",VLOOKUP(A56,Journal!$C$7:$J$83,8))</f>
        <v/>
      </c>
      <c r="E56" s="106" t="str">
        <f>IF(B56="","",VLOOKUP(A56,Journal!$C$7:$L$83,10))</f>
        <v/>
      </c>
      <c r="F56" s="101" t="str">
        <f>IF(B56="","",VLOOKUP(A56,Journal!$C$7:$M$83,11))</f>
        <v/>
      </c>
      <c r="G56" s="127">
        <f>IF(B56="Total",SUM(G$8:G55)+0.0001,IF(OR(B56="",M56=0),0,VLOOKUP(A56,Journal!$C$7:M$83,7)))</f>
        <v>0</v>
      </c>
      <c r="H56" s="127">
        <f>IF(B56="Total",SUM(H$8:H55)+0.0001,IF(OR(B56="",N56=0),0,VLOOKUP(A56,Journal!$C$7:M$83,7)))</f>
        <v>0</v>
      </c>
      <c r="I56" s="104">
        <f t="shared" si="1"/>
        <v>0</v>
      </c>
      <c r="J56" s="128"/>
      <c r="K56" s="244">
        <f>VLOOKUP(A56,Journal!$C$7:$M$83,4)</f>
        <v>0</v>
      </c>
      <c r="L56" s="245">
        <f>VLOOKUP(A56,Journal!$C$7:$M$83,5)</f>
        <v>0</v>
      </c>
      <c r="M56" s="245">
        <f t="shared" si="5"/>
        <v>0</v>
      </c>
      <c r="N56" s="245">
        <f t="shared" si="6"/>
        <v>0</v>
      </c>
      <c r="O56" s="200"/>
      <c r="P56" s="200">
        <f t="shared" si="7"/>
        <v>1.0000000000000001E-5</v>
      </c>
    </row>
    <row r="57" spans="1:16">
      <c r="A57">
        <f t="shared" si="4"/>
        <v>50</v>
      </c>
      <c r="B57" s="105" t="str">
        <f>IF(OR(B56="Total",B56=""),"",IF(VLOOKUP(A57,Journal!$C$7:$E$83,3)=0,"Total",VLOOKUP(A57,Journal!$C$7:$D$83,2)))</f>
        <v/>
      </c>
      <c r="C57" s="103" t="str">
        <f>IF(B57="","",VLOOKUP(A57,Journal!$C$7:$E$83,3))</f>
        <v/>
      </c>
      <c r="D57" s="106" t="str">
        <f>IF(B57="","",VLOOKUP(A57,Journal!$C$7:$J$83,8))</f>
        <v/>
      </c>
      <c r="E57" s="106" t="str">
        <f>IF(B57="","",VLOOKUP(A57,Journal!$C$7:$L$83,10))</f>
        <v/>
      </c>
      <c r="F57" s="101" t="str">
        <f>IF(B57="","",VLOOKUP(A57,Journal!$C$7:$M$83,11))</f>
        <v/>
      </c>
      <c r="G57" s="127">
        <f>IF(B57="Total",SUM(G$8:G56)+0.0001,IF(OR(B57="",M57=0),0,VLOOKUP(A57,Journal!$C$7:M$83,7)))</f>
        <v>0</v>
      </c>
      <c r="H57" s="127">
        <f>IF(B57="Total",SUM(H$8:H56)+0.0001,IF(OR(B57="",N57=0),0,VLOOKUP(A57,Journal!$C$7:M$83,7)))</f>
        <v>0</v>
      </c>
      <c r="I57" s="104">
        <f t="shared" si="1"/>
        <v>0</v>
      </c>
      <c r="J57" s="128"/>
      <c r="K57" s="244">
        <f>VLOOKUP(A57,Journal!$C$7:$M$83,4)</f>
        <v>0</v>
      </c>
      <c r="L57" s="245">
        <f>VLOOKUP(A57,Journal!$C$7:$M$83,5)</f>
        <v>0</v>
      </c>
      <c r="M57" s="245">
        <f t="shared" si="5"/>
        <v>0</v>
      </c>
      <c r="N57" s="245">
        <f t="shared" si="6"/>
        <v>0</v>
      </c>
      <c r="O57" s="200"/>
      <c r="P57" s="200">
        <f t="shared" si="7"/>
        <v>1.0000000000000001E-5</v>
      </c>
    </row>
    <row r="58" spans="1:16">
      <c r="A58">
        <f t="shared" si="4"/>
        <v>51</v>
      </c>
      <c r="B58" s="105" t="str">
        <f>IF(OR(B57="Total",B57=""),"",IF(VLOOKUP(A58,Journal!$C$7:$E$83,3)=0,"Total",VLOOKUP(A58,Journal!$C$7:$D$83,2)))</f>
        <v/>
      </c>
      <c r="C58" s="103" t="str">
        <f>IF(B58="","",VLOOKUP(A58,Journal!$C$7:$E$83,3))</f>
        <v/>
      </c>
      <c r="D58" s="106" t="str">
        <f>IF(B58="","",VLOOKUP(A58,Journal!$C$7:$J$83,8))</f>
        <v/>
      </c>
      <c r="E58" s="106" t="str">
        <f>IF(B58="","",VLOOKUP(A58,Journal!$C$7:$L$83,10))</f>
        <v/>
      </c>
      <c r="F58" s="101" t="str">
        <f>IF(B58="","",VLOOKUP(A58,Journal!$C$7:$M$83,11))</f>
        <v/>
      </c>
      <c r="G58" s="127">
        <f>IF(B58="Total",SUM(G$8:G57)+0.0001,IF(OR(B58="",M58=0),0,VLOOKUP(A58,Journal!$C$7:M$83,7)))</f>
        <v>0</v>
      </c>
      <c r="H58" s="127">
        <f>IF(B58="Total",SUM(H$8:H57)+0.0001,IF(OR(B58="",N58=0),0,VLOOKUP(A58,Journal!$C$7:M$83,7)))</f>
        <v>0</v>
      </c>
      <c r="I58" s="104">
        <f t="shared" si="1"/>
        <v>0</v>
      </c>
      <c r="J58" s="128"/>
      <c r="K58" s="244">
        <f>VLOOKUP(A58,Journal!$C$7:$M$83,4)</f>
        <v>0</v>
      </c>
      <c r="L58" s="245">
        <f>VLOOKUP(A58,Journal!$C$7:$M$83,5)</f>
        <v>0</v>
      </c>
      <c r="M58" s="245">
        <f t="shared" si="5"/>
        <v>0</v>
      </c>
      <c r="N58" s="245">
        <f t="shared" si="6"/>
        <v>0</v>
      </c>
      <c r="O58" s="200"/>
      <c r="P58" s="200">
        <f t="shared" si="7"/>
        <v>1.0000000000000001E-5</v>
      </c>
    </row>
    <row r="59" spans="1:16">
      <c r="A59">
        <f t="shared" si="4"/>
        <v>52</v>
      </c>
      <c r="B59" s="105" t="str">
        <f>IF(OR(B58="Total",B58=""),"",IF(VLOOKUP(A59,Journal!$C$7:$E$83,3)=0,"Total",VLOOKUP(A59,Journal!$C$7:$D$83,2)))</f>
        <v/>
      </c>
      <c r="C59" s="103" t="str">
        <f>IF(B59="","",VLOOKUP(A59,Journal!$C$7:$E$83,3))</f>
        <v/>
      </c>
      <c r="D59" s="106" t="str">
        <f>IF(B59="","",VLOOKUP(A59,Journal!$C$7:$J$83,8))</f>
        <v/>
      </c>
      <c r="E59" s="106" t="str">
        <f>IF(B59="","",VLOOKUP(A59,Journal!$C$7:$L$83,10))</f>
        <v/>
      </c>
      <c r="F59" s="101" t="str">
        <f>IF(B59="","",VLOOKUP(A59,Journal!$C$7:$M$83,11))</f>
        <v/>
      </c>
      <c r="G59" s="127">
        <f>IF(B59="Total",SUM(G$8:G58)+0.0001,IF(OR(B59="",M59=0),0,VLOOKUP(A59,Journal!$C$7:M$83,7)))</f>
        <v>0</v>
      </c>
      <c r="H59" s="127">
        <f>IF(B59="Total",SUM(H$8:H58)+0.0001,IF(OR(B59="",N59=0),0,VLOOKUP(A59,Journal!$C$7:M$83,7)))</f>
        <v>0</v>
      </c>
      <c r="I59" s="104">
        <f t="shared" si="1"/>
        <v>0</v>
      </c>
      <c r="J59" s="128"/>
      <c r="K59" s="244">
        <f>VLOOKUP(A59,Journal!$C$7:$M$83,4)</f>
        <v>0</v>
      </c>
      <c r="L59" s="245">
        <f>VLOOKUP(A59,Journal!$C$7:$M$83,5)</f>
        <v>0</v>
      </c>
      <c r="M59" s="245">
        <f t="shared" si="5"/>
        <v>0</v>
      </c>
      <c r="N59" s="245">
        <f t="shared" si="6"/>
        <v>0</v>
      </c>
      <c r="O59" s="200"/>
      <c r="P59" s="200">
        <f t="shared" si="7"/>
        <v>1.0000000000000001E-5</v>
      </c>
    </row>
    <row r="60" spans="1:16">
      <c r="A60">
        <f t="shared" si="4"/>
        <v>53</v>
      </c>
      <c r="B60" s="105" t="str">
        <f>IF(OR(B59="Total",B59=""),"",IF(VLOOKUP(A60,Journal!$C$7:$E$83,3)=0,"Total",VLOOKUP(A60,Journal!$C$7:$D$83,2)))</f>
        <v/>
      </c>
      <c r="C60" s="103" t="str">
        <f>IF(B60="","",VLOOKUP(A60,Journal!$C$7:$E$83,3))</f>
        <v/>
      </c>
      <c r="D60" s="106" t="str">
        <f>IF(B60="","",VLOOKUP(A60,Journal!$C$7:$J$83,8))</f>
        <v/>
      </c>
      <c r="E60" s="106" t="str">
        <f>IF(B60="","",VLOOKUP(A60,Journal!$C$7:$L$83,10))</f>
        <v/>
      </c>
      <c r="F60" s="101" t="str">
        <f>IF(B60="","",VLOOKUP(A60,Journal!$C$7:$M$83,11))</f>
        <v/>
      </c>
      <c r="G60" s="127">
        <f>IF(B60="Total",SUM(G$8:G59)+0.0001,IF(OR(B60="",M60=0),0,VLOOKUP(A60,Journal!$C$7:M$83,7)))</f>
        <v>0</v>
      </c>
      <c r="H60" s="127">
        <f>IF(B60="Total",SUM(H$8:H59)+0.0001,IF(OR(B60="",N60=0),0,VLOOKUP(A60,Journal!$C$7:M$83,7)))</f>
        <v>0</v>
      </c>
      <c r="I60" s="104">
        <f t="shared" si="1"/>
        <v>0</v>
      </c>
      <c r="J60" s="128"/>
      <c r="K60" s="244">
        <f>VLOOKUP(A60,Journal!$C$7:$M$83,4)</f>
        <v>0</v>
      </c>
      <c r="L60" s="245">
        <f>VLOOKUP(A60,Journal!$C$7:$M$83,5)</f>
        <v>0</v>
      </c>
      <c r="M60" s="245">
        <f t="shared" si="5"/>
        <v>0</v>
      </c>
      <c r="N60" s="245">
        <f t="shared" si="6"/>
        <v>0</v>
      </c>
      <c r="O60" s="200"/>
      <c r="P60" s="200">
        <f t="shared" si="7"/>
        <v>1.0000000000000001E-5</v>
      </c>
    </row>
    <row r="61" spans="1:16">
      <c r="A61">
        <f t="shared" si="4"/>
        <v>54</v>
      </c>
      <c r="B61" s="105" t="str">
        <f>IF(OR(B60="Total",B60=""),"",IF(VLOOKUP(A61,Journal!$C$7:$E$83,3)=0,"Total",VLOOKUP(A61,Journal!$C$7:$D$83,2)))</f>
        <v/>
      </c>
      <c r="C61" s="103" t="str">
        <f>IF(B61="","",VLOOKUP(A61,Journal!$C$7:$E$83,3))</f>
        <v/>
      </c>
      <c r="D61" s="106" t="str">
        <f>IF(B61="","",VLOOKUP(A61,Journal!$C$7:$J$83,8))</f>
        <v/>
      </c>
      <c r="E61" s="106" t="str">
        <f>IF(B61="","",VLOOKUP(A61,Journal!$C$7:$L$83,10))</f>
        <v/>
      </c>
      <c r="F61" s="101" t="str">
        <f>IF(B61="","",VLOOKUP(A61,Journal!$C$7:$M$83,11))</f>
        <v/>
      </c>
      <c r="G61" s="127">
        <f>IF(B61="Total",SUM(G$8:G60)+0.0001,IF(OR(B61="",M61=0),0,VLOOKUP(A61,Journal!$C$7:M$83,7)))</f>
        <v>0</v>
      </c>
      <c r="H61" s="127">
        <f>IF(B61="Total",SUM(H$8:H60)+0.0001,IF(OR(B61="",N61=0),0,VLOOKUP(A61,Journal!$C$7:M$83,7)))</f>
        <v>0</v>
      </c>
      <c r="I61" s="104">
        <f t="shared" si="1"/>
        <v>0</v>
      </c>
      <c r="J61" s="128"/>
      <c r="K61" s="244">
        <f>VLOOKUP(A61,Journal!$C$7:$M$83,4)</f>
        <v>0</v>
      </c>
      <c r="L61" s="245">
        <f>VLOOKUP(A61,Journal!$C$7:$M$83,5)</f>
        <v>0</v>
      </c>
      <c r="M61" s="245">
        <f t="shared" si="5"/>
        <v>0</v>
      </c>
      <c r="N61" s="245">
        <f t="shared" si="6"/>
        <v>0</v>
      </c>
      <c r="O61" s="200"/>
      <c r="P61" s="200">
        <f t="shared" si="7"/>
        <v>1.0000000000000001E-5</v>
      </c>
    </row>
    <row r="62" spans="1:16">
      <c r="A62">
        <f t="shared" si="4"/>
        <v>55</v>
      </c>
      <c r="B62" s="105" t="str">
        <f>IF(OR(B61="Total",B61=""),"",IF(VLOOKUP(A62,Journal!$C$7:$E$83,3)=0,"Total",VLOOKUP(A62,Journal!$C$7:$D$83,2)))</f>
        <v/>
      </c>
      <c r="C62" s="103" t="str">
        <f>IF(B62="","",VLOOKUP(A62,Journal!$C$7:$E$83,3))</f>
        <v/>
      </c>
      <c r="D62" s="106" t="str">
        <f>IF(B62="","",VLOOKUP(A62,Journal!$C$7:$J$83,8))</f>
        <v/>
      </c>
      <c r="E62" s="106" t="str">
        <f>IF(B62="","",VLOOKUP(A62,Journal!$C$7:$L$83,10))</f>
        <v/>
      </c>
      <c r="F62" s="101" t="str">
        <f>IF(B62="","",VLOOKUP(A62,Journal!$C$7:$M$83,11))</f>
        <v/>
      </c>
      <c r="G62" s="127">
        <f>IF(B62="Total",SUM(G$8:G61)+0.0001,IF(OR(B62="",M62=0),0,VLOOKUP(A62,Journal!$C$7:M$83,7)))</f>
        <v>0</v>
      </c>
      <c r="H62" s="127">
        <f>IF(B62="Total",SUM(H$8:H61)+0.0001,IF(OR(B62="",N62=0),0,VLOOKUP(A62,Journal!$C$7:M$83,7)))</f>
        <v>0</v>
      </c>
      <c r="I62" s="104">
        <f t="shared" si="1"/>
        <v>0</v>
      </c>
      <c r="J62" s="128"/>
      <c r="K62" s="244">
        <f>VLOOKUP(A62,Journal!$C$7:$M$83,4)</f>
        <v>0</v>
      </c>
      <c r="L62" s="245">
        <f>VLOOKUP(A62,Journal!$C$7:$M$83,5)</f>
        <v>0</v>
      </c>
      <c r="M62" s="245">
        <f t="shared" si="5"/>
        <v>0</v>
      </c>
      <c r="N62" s="245">
        <f t="shared" si="6"/>
        <v>0</v>
      </c>
      <c r="O62" s="200"/>
      <c r="P62" s="200">
        <f t="shared" si="7"/>
        <v>1.0000000000000001E-5</v>
      </c>
    </row>
    <row r="63" spans="1:16">
      <c r="A63">
        <f t="shared" si="4"/>
        <v>56</v>
      </c>
      <c r="B63" s="105" t="str">
        <f>IF(OR(B62="Total",B62=""),"",IF(VLOOKUP(A63,Journal!$C$7:$E$83,3)=0,"Total",VLOOKUP(A63,Journal!$C$7:$D$83,2)))</f>
        <v/>
      </c>
      <c r="C63" s="103" t="str">
        <f>IF(B63="","",VLOOKUP(A63,Journal!$C$7:$E$83,3))</f>
        <v/>
      </c>
      <c r="D63" s="106" t="str">
        <f>IF(B63="","",VLOOKUP(A63,Journal!$C$7:$J$83,8))</f>
        <v/>
      </c>
      <c r="E63" s="106" t="str">
        <f>IF(B63="","",VLOOKUP(A63,Journal!$C$7:$L$83,10))</f>
        <v/>
      </c>
      <c r="F63" s="101" t="str">
        <f>IF(B63="","",VLOOKUP(A63,Journal!$C$7:$M$83,11))</f>
        <v/>
      </c>
      <c r="G63" s="127">
        <f>IF(B63="Total",SUM(G$8:G62)+0.0001,IF(OR(B63="",M63=0),0,VLOOKUP(A63,Journal!$C$7:M$83,7)))</f>
        <v>0</v>
      </c>
      <c r="H63" s="127">
        <f>IF(B63="Total",SUM(H$8:H62)+0.0001,IF(OR(B63="",N63=0),0,VLOOKUP(A63,Journal!$C$7:M$83,7)))</f>
        <v>0</v>
      </c>
      <c r="I63" s="104">
        <f t="shared" si="1"/>
        <v>0</v>
      </c>
      <c r="J63" s="128"/>
      <c r="K63" s="244">
        <f>VLOOKUP(A63,Journal!$C$7:$M$83,4)</f>
        <v>0</v>
      </c>
      <c r="L63" s="245">
        <f>VLOOKUP(A63,Journal!$C$7:$M$83,5)</f>
        <v>0</v>
      </c>
      <c r="M63" s="245">
        <f t="shared" si="5"/>
        <v>0</v>
      </c>
      <c r="N63" s="245">
        <f t="shared" si="6"/>
        <v>0</v>
      </c>
      <c r="O63" s="200"/>
      <c r="P63" s="200">
        <f t="shared" si="7"/>
        <v>1.0000000000000001E-5</v>
      </c>
    </row>
    <row r="64" spans="1:16">
      <c r="A64">
        <f t="shared" si="4"/>
        <v>57</v>
      </c>
      <c r="B64" s="105" t="str">
        <f>IF(OR(B63="Total",B63=""),"",IF(VLOOKUP(A64,Journal!$C$7:$E$83,3)=0,"Total",VLOOKUP(A64,Journal!$C$7:$D$83,2)))</f>
        <v/>
      </c>
      <c r="C64" s="103" t="str">
        <f>IF(B64="","",VLOOKUP(A64,Journal!$C$7:$E$83,3))</f>
        <v/>
      </c>
      <c r="D64" s="106" t="str">
        <f>IF(B64="","",VLOOKUP(A64,Journal!$C$7:$J$83,8))</f>
        <v/>
      </c>
      <c r="E64" s="106" t="str">
        <f>IF(B64="","",VLOOKUP(A64,Journal!$C$7:$L$83,10))</f>
        <v/>
      </c>
      <c r="F64" s="101" t="str">
        <f>IF(B64="","",VLOOKUP(A64,Journal!$C$7:$M$83,11))</f>
        <v/>
      </c>
      <c r="G64" s="127">
        <f>IF(B64="Total",SUM(G$8:G63)+0.0001,IF(OR(B64="",M64=0),0,VLOOKUP(A64,Journal!$C$7:M$83,7)))</f>
        <v>0</v>
      </c>
      <c r="H64" s="127">
        <f>IF(B64="Total",SUM(H$8:H63)+0.0001,IF(OR(B64="",N64=0),0,VLOOKUP(A64,Journal!$C$7:M$83,7)))</f>
        <v>0</v>
      </c>
      <c r="I64" s="104">
        <f t="shared" si="1"/>
        <v>0</v>
      </c>
      <c r="J64" s="128"/>
      <c r="K64" s="244">
        <f>VLOOKUP(A64,Journal!$C$7:$M$83,4)</f>
        <v>0</v>
      </c>
      <c r="L64" s="245">
        <f>VLOOKUP(A64,Journal!$C$7:$M$83,5)</f>
        <v>0</v>
      </c>
      <c r="M64" s="245">
        <f t="shared" si="5"/>
        <v>0</v>
      </c>
      <c r="N64" s="245">
        <f t="shared" si="6"/>
        <v>0</v>
      </c>
      <c r="O64" s="200"/>
      <c r="P64" s="200">
        <f t="shared" si="7"/>
        <v>1.0000000000000001E-5</v>
      </c>
    </row>
    <row r="65" spans="1:16">
      <c r="A65">
        <f t="shared" si="4"/>
        <v>58</v>
      </c>
      <c r="B65" s="105" t="str">
        <f>IF(OR(B64="Total",B64=""),"",IF(VLOOKUP(A65,Journal!$C$7:$E$83,3)=0,"Total",VLOOKUP(A65,Journal!$C$7:$D$83,2)))</f>
        <v/>
      </c>
      <c r="C65" s="103" t="str">
        <f>IF(B65="","",VLOOKUP(A65,Journal!$C$7:$E$83,3))</f>
        <v/>
      </c>
      <c r="D65" s="106" t="str">
        <f>IF(B65="","",VLOOKUP(A65,Journal!$C$7:$J$83,8))</f>
        <v/>
      </c>
      <c r="E65" s="106" t="str">
        <f>IF(B65="","",VLOOKUP(A65,Journal!$C$7:$L$83,10))</f>
        <v/>
      </c>
      <c r="F65" s="101" t="str">
        <f>IF(B65="","",VLOOKUP(A65,Journal!$C$7:$M$83,11))</f>
        <v/>
      </c>
      <c r="G65" s="127">
        <f>IF(B65="Total",SUM(G$8:G64)+0.0001,IF(OR(B65="",M65=0),0,VLOOKUP(A65,Journal!$C$7:M$83,7)))</f>
        <v>0</v>
      </c>
      <c r="H65" s="127">
        <f>IF(B65="Total",SUM(H$8:H64)+0.0001,IF(OR(B65="",N65=0),0,VLOOKUP(A65,Journal!$C$7:M$83,7)))</f>
        <v>0</v>
      </c>
      <c r="I65" s="104">
        <f t="shared" si="1"/>
        <v>0</v>
      </c>
      <c r="J65" s="128"/>
      <c r="K65" s="244">
        <f>VLOOKUP(A65,Journal!$C$7:$M$83,4)</f>
        <v>0</v>
      </c>
      <c r="L65" s="245">
        <f>VLOOKUP(A65,Journal!$C$7:$M$83,5)</f>
        <v>0</v>
      </c>
      <c r="M65" s="245">
        <f t="shared" si="5"/>
        <v>0</v>
      </c>
      <c r="N65" s="245">
        <f t="shared" si="6"/>
        <v>0</v>
      </c>
      <c r="O65" s="200"/>
      <c r="P65" s="200">
        <f t="shared" si="7"/>
        <v>1.0000000000000001E-5</v>
      </c>
    </row>
    <row r="66" spans="1:16">
      <c r="A66">
        <f t="shared" si="4"/>
        <v>59</v>
      </c>
      <c r="B66" s="105" t="str">
        <f>IF(OR(B65="Total",B65=""),"",IF(VLOOKUP(A66,Journal!$C$7:$E$83,3)=0,"Total",VLOOKUP(A66,Journal!$C$7:$D$83,2)))</f>
        <v/>
      </c>
      <c r="C66" s="103" t="str">
        <f>IF(B66="","",VLOOKUP(A66,Journal!$C$7:$E$83,3))</f>
        <v/>
      </c>
      <c r="D66" s="106" t="str">
        <f>IF(B66="","",VLOOKUP(A66,Journal!$C$7:$J$83,8))</f>
        <v/>
      </c>
      <c r="E66" s="106" t="str">
        <f>IF(B66="","",VLOOKUP(A66,Journal!$C$7:$L$83,10))</f>
        <v/>
      </c>
      <c r="F66" s="101" t="str">
        <f>IF(B66="","",VLOOKUP(A66,Journal!$C$7:$M$83,11))</f>
        <v/>
      </c>
      <c r="G66" s="127">
        <f>IF(B66="Total",SUM(G$8:G65)+0.0001,IF(OR(B66="",M66=0),0,VLOOKUP(A66,Journal!$C$7:M$83,7)))</f>
        <v>0</v>
      </c>
      <c r="H66" s="127">
        <f>IF(B66="Total",SUM(H$8:H65)+0.0001,IF(OR(B66="",N66=0),0,VLOOKUP(A66,Journal!$C$7:M$83,7)))</f>
        <v>0</v>
      </c>
      <c r="I66" s="104">
        <f t="shared" si="1"/>
        <v>0</v>
      </c>
      <c r="J66" s="128"/>
      <c r="K66" s="244">
        <f>VLOOKUP(A66,Journal!$C$7:$M$83,4)</f>
        <v>0</v>
      </c>
      <c r="L66" s="245">
        <f>VLOOKUP(A66,Journal!$C$7:$M$83,5)</f>
        <v>0</v>
      </c>
      <c r="M66" s="245">
        <f t="shared" si="5"/>
        <v>0</v>
      </c>
      <c r="N66" s="245">
        <f t="shared" si="6"/>
        <v>0</v>
      </c>
      <c r="O66" s="200"/>
      <c r="P66" s="200">
        <f t="shared" si="7"/>
        <v>1.0000000000000001E-5</v>
      </c>
    </row>
    <row r="67" spans="1:16">
      <c r="A67">
        <f t="shared" si="4"/>
        <v>60</v>
      </c>
      <c r="B67" s="105" t="str">
        <f>IF(OR(B66="Total",B66=""),"",IF(VLOOKUP(A67,Journal!$C$7:$E$83,3)=0,"Total",VLOOKUP(A67,Journal!$C$7:$D$83,2)))</f>
        <v/>
      </c>
      <c r="C67" s="103" t="str">
        <f>IF(B67="","",VLOOKUP(A67,Journal!$C$7:$E$83,3))</f>
        <v/>
      </c>
      <c r="D67" s="106" t="str">
        <f>IF(B67="","",VLOOKUP(A67,Journal!$C$7:$J$83,8))</f>
        <v/>
      </c>
      <c r="E67" s="106" t="str">
        <f>IF(B67="","",VLOOKUP(A67,Journal!$C$7:$L$83,10))</f>
        <v/>
      </c>
      <c r="F67" s="101" t="str">
        <f>IF(B67="","",VLOOKUP(A67,Journal!$C$7:$M$83,11))</f>
        <v/>
      </c>
      <c r="G67" s="127">
        <f>IF(B67="Total",SUM(G$8:G66)+0.0001,IF(OR(B67="",M67=0),0,VLOOKUP(A67,Journal!$C$7:M$83,7)))</f>
        <v>0</v>
      </c>
      <c r="H67" s="127">
        <f>IF(B67="Total",SUM(H$8:H66)+0.0001,IF(OR(B67="",N67=0),0,VLOOKUP(A67,Journal!$C$7:M$83,7)))</f>
        <v>0</v>
      </c>
      <c r="I67" s="104">
        <f t="shared" si="1"/>
        <v>0</v>
      </c>
      <c r="J67" s="128"/>
      <c r="K67" s="244">
        <f>VLOOKUP(A67,Journal!$C$7:$M$83,4)</f>
        <v>0</v>
      </c>
      <c r="L67" s="245">
        <f>VLOOKUP(A67,Journal!$C$7:$M$83,5)</f>
        <v>0</v>
      </c>
      <c r="M67" s="245">
        <f t="shared" si="5"/>
        <v>0</v>
      </c>
      <c r="N67" s="245">
        <f t="shared" si="6"/>
        <v>0</v>
      </c>
      <c r="O67" s="200"/>
      <c r="P67" s="200">
        <f t="shared" si="7"/>
        <v>1.0000000000000001E-5</v>
      </c>
    </row>
    <row r="68" spans="1:16">
      <c r="A68">
        <f t="shared" si="4"/>
        <v>61</v>
      </c>
      <c r="B68" s="105" t="str">
        <f>IF(OR(B67="Total",B67=""),"",IF(VLOOKUP(A68,Journal!$C$7:$E$83,3)=0,"Total",VLOOKUP(A68,Journal!$C$7:$D$83,2)))</f>
        <v/>
      </c>
      <c r="C68" s="103" t="str">
        <f>IF(B68="","",VLOOKUP(A68,Journal!$C$7:$E$83,3))</f>
        <v/>
      </c>
      <c r="D68" s="106" t="str">
        <f>IF(B68="","",VLOOKUP(A68,Journal!$C$7:$J$83,8))</f>
        <v/>
      </c>
      <c r="E68" s="106" t="str">
        <f>IF(B68="","",VLOOKUP(A68,Journal!$C$7:$L$83,10))</f>
        <v/>
      </c>
      <c r="F68" s="101" t="str">
        <f>IF(B68="","",VLOOKUP(A68,Journal!$C$7:$M$83,11))</f>
        <v/>
      </c>
      <c r="G68" s="127">
        <f>IF(B68="Total",SUM(G$8:G67)+0.0001,IF(OR(B68="",M68=0),0,VLOOKUP(A68,Journal!$C$7:M$83,7)))</f>
        <v>0</v>
      </c>
      <c r="H68" s="127">
        <f>IF(B68="Total",SUM(H$8:H67)+0.0001,IF(OR(B68="",N68=0),0,VLOOKUP(A68,Journal!$C$7:M$83,7)))</f>
        <v>0</v>
      </c>
      <c r="I68" s="104">
        <f t="shared" si="1"/>
        <v>0</v>
      </c>
      <c r="J68" s="128"/>
      <c r="K68" s="244">
        <f>VLOOKUP(A68,Journal!$C$7:$M$83,4)</f>
        <v>0</v>
      </c>
      <c r="L68" s="245">
        <f>VLOOKUP(A68,Journal!$C$7:$M$83,5)</f>
        <v>0</v>
      </c>
      <c r="M68" s="245">
        <f t="shared" si="5"/>
        <v>0</v>
      </c>
      <c r="N68" s="245">
        <f t="shared" si="6"/>
        <v>0</v>
      </c>
      <c r="O68" s="200"/>
      <c r="P68" s="200">
        <f t="shared" si="7"/>
        <v>1.0000000000000001E-5</v>
      </c>
    </row>
    <row r="69" spans="1:16">
      <c r="A69">
        <f t="shared" si="4"/>
        <v>62</v>
      </c>
      <c r="B69" s="105" t="str">
        <f>IF(OR(B68="Total",B68=""),"",IF(VLOOKUP(A69,Journal!$C$7:$E$83,3)=0,"Total",VLOOKUP(A69,Journal!$C$7:$D$83,2)))</f>
        <v/>
      </c>
      <c r="C69" s="103" t="str">
        <f>IF(B69="","",VLOOKUP(A69,Journal!$C$7:$E$83,3))</f>
        <v/>
      </c>
      <c r="D69" s="106" t="str">
        <f>IF(B69="","",VLOOKUP(A69,Journal!$C$7:$J$83,8))</f>
        <v/>
      </c>
      <c r="E69" s="106" t="str">
        <f>IF(B69="","",VLOOKUP(A69,Journal!$C$7:$L$83,10))</f>
        <v/>
      </c>
      <c r="F69" s="101" t="str">
        <f>IF(B69="","",VLOOKUP(A69,Journal!$C$7:$M$83,11))</f>
        <v/>
      </c>
      <c r="G69" s="127">
        <f>IF(B69="Total",SUM(G$8:G68)+0.0001,IF(OR(B69="",M69=0),0,VLOOKUP(A69,Journal!$C$7:M$83,7)))</f>
        <v>0</v>
      </c>
      <c r="H69" s="127">
        <f>IF(B69="Total",SUM(H$8:H68)+0.0001,IF(OR(B69="",N69=0),0,VLOOKUP(A69,Journal!$C$7:M$83,7)))</f>
        <v>0</v>
      </c>
      <c r="I69" s="104">
        <f t="shared" si="1"/>
        <v>0</v>
      </c>
      <c r="J69" s="128"/>
      <c r="K69" s="244">
        <f>VLOOKUP(A69,Journal!$C$7:$M$83,4)</f>
        <v>0</v>
      </c>
      <c r="L69" s="245">
        <f>VLOOKUP(A69,Journal!$C$7:$M$83,5)</f>
        <v>0</v>
      </c>
      <c r="M69" s="245">
        <f t="shared" si="5"/>
        <v>0</v>
      </c>
      <c r="N69" s="245">
        <f t="shared" si="6"/>
        <v>0</v>
      </c>
      <c r="O69" s="200"/>
      <c r="P69" s="200">
        <f t="shared" si="7"/>
        <v>1.0000000000000001E-5</v>
      </c>
    </row>
    <row r="70" spans="1:16">
      <c r="A70">
        <f t="shared" si="4"/>
        <v>63</v>
      </c>
      <c r="B70" s="105" t="str">
        <f>IF(OR(B69="Total",B69=""),"",IF(VLOOKUP(A70,Journal!$C$7:$E$83,3)=0,"Total",VLOOKUP(A70,Journal!$C$7:$D$83,2)))</f>
        <v/>
      </c>
      <c r="C70" s="103" t="str">
        <f>IF(B70="","",VLOOKUP(A70,Journal!$C$7:$E$83,3))</f>
        <v/>
      </c>
      <c r="D70" s="106" t="str">
        <f>IF(B70="","",VLOOKUP(A70,Journal!$C$7:$J$83,8))</f>
        <v/>
      </c>
      <c r="E70" s="106" t="str">
        <f>IF(B70="","",VLOOKUP(A70,Journal!$C$7:$L$83,10))</f>
        <v/>
      </c>
      <c r="F70" s="101" t="str">
        <f>IF(B70="","",VLOOKUP(A70,Journal!$C$7:$M$83,11))</f>
        <v/>
      </c>
      <c r="G70" s="127">
        <f>IF(B70="Total",SUM(G$8:G69)+0.0001,IF(OR(B70="",M70=0),0,VLOOKUP(A70,Journal!$C$7:M$83,7)))</f>
        <v>0</v>
      </c>
      <c r="H70" s="127">
        <f>IF(B70="Total",SUM(H$8:H69)+0.0001,IF(OR(B70="",N70=0),0,VLOOKUP(A70,Journal!$C$7:M$83,7)))</f>
        <v>0</v>
      </c>
      <c r="I70" s="104">
        <f t="shared" si="1"/>
        <v>0</v>
      </c>
      <c r="J70" s="128"/>
      <c r="K70" s="244">
        <f>VLOOKUP(A70,Journal!$C$7:$M$83,4)</f>
        <v>0</v>
      </c>
      <c r="L70" s="245">
        <f>VLOOKUP(A70,Journal!$C$7:$M$83,5)</f>
        <v>0</v>
      </c>
      <c r="M70" s="245">
        <f t="shared" si="5"/>
        <v>0</v>
      </c>
      <c r="N70" s="245">
        <f t="shared" si="6"/>
        <v>0</v>
      </c>
      <c r="O70" s="200"/>
      <c r="P70" s="200">
        <f t="shared" si="7"/>
        <v>1.0000000000000001E-5</v>
      </c>
    </row>
    <row r="71" spans="1:16">
      <c r="A71">
        <f t="shared" si="4"/>
        <v>64</v>
      </c>
      <c r="B71" s="105" t="str">
        <f>IF(OR(B70="Total",B70=""),"",IF(VLOOKUP(A71,Journal!$C$7:$E$83,3)=0,"Total",VLOOKUP(A71,Journal!$C$7:$D$83,2)))</f>
        <v/>
      </c>
      <c r="C71" s="103" t="str">
        <f>IF(B71="","",VLOOKUP(A71,Journal!$C$7:$E$83,3))</f>
        <v/>
      </c>
      <c r="D71" s="106" t="str">
        <f>IF(B71="","",VLOOKUP(A71,Journal!$C$7:$J$83,8))</f>
        <v/>
      </c>
      <c r="E71" s="106" t="str">
        <f>IF(B71="","",VLOOKUP(A71,Journal!$C$7:$L$83,10))</f>
        <v/>
      </c>
      <c r="F71" s="101" t="str">
        <f>IF(B71="","",VLOOKUP(A71,Journal!$C$7:$M$83,11))</f>
        <v/>
      </c>
      <c r="G71" s="127">
        <f>IF(B71="Total",SUM(G$8:G70)+0.0001,IF(OR(B71="",M71=0),0,VLOOKUP(A71,Journal!$C$7:M$83,7)))</f>
        <v>0</v>
      </c>
      <c r="H71" s="127">
        <f>IF(B71="Total",SUM(H$8:H70)+0.0001,IF(OR(B71="",N71=0),0,VLOOKUP(A71,Journal!$C$7:M$83,7)))</f>
        <v>0</v>
      </c>
      <c r="I71" s="104">
        <f t="shared" si="1"/>
        <v>0</v>
      </c>
      <c r="J71" s="128"/>
      <c r="K71" s="244">
        <f>VLOOKUP(A71,Journal!$C$7:$M$83,4)</f>
        <v>0</v>
      </c>
      <c r="L71" s="245">
        <f>VLOOKUP(A71,Journal!$C$7:$M$83,5)</f>
        <v>0</v>
      </c>
      <c r="M71" s="245">
        <f t="shared" si="5"/>
        <v>0</v>
      </c>
      <c r="N71" s="245">
        <f t="shared" si="6"/>
        <v>0</v>
      </c>
      <c r="O71" s="200"/>
      <c r="P71" s="200">
        <f t="shared" si="7"/>
        <v>1.0000000000000001E-5</v>
      </c>
    </row>
    <row r="72" spans="1:16">
      <c r="A72">
        <f t="shared" si="4"/>
        <v>65</v>
      </c>
      <c r="B72" s="105" t="str">
        <f>IF(OR(B71="Total",B71=""),"",IF(VLOOKUP(A72,Journal!$C$7:$E$83,3)=0,"Total",VLOOKUP(A72,Journal!$C$7:$D$83,2)))</f>
        <v/>
      </c>
      <c r="C72" s="103" t="str">
        <f>IF(B72="","",VLOOKUP(A72,Journal!$C$7:$E$83,3))</f>
        <v/>
      </c>
      <c r="D72" s="106" t="str">
        <f>IF(B72="","",VLOOKUP(A72,Journal!$C$7:$J$83,8))</f>
        <v/>
      </c>
      <c r="E72" s="106" t="str">
        <f>IF(B72="","",VLOOKUP(A72,Journal!$C$7:$L$83,10))</f>
        <v/>
      </c>
      <c r="F72" s="101" t="str">
        <f>IF(B72="","",VLOOKUP(A72,Journal!$C$7:$M$83,11))</f>
        <v/>
      </c>
      <c r="G72" s="127">
        <f>IF(B72="Total",SUM(G$8:G71)+0.0001,IF(OR(B72="",M72=0),0,VLOOKUP(A72,Journal!$C$7:M$83,7)))</f>
        <v>0</v>
      </c>
      <c r="H72" s="127">
        <f>IF(B72="Total",SUM(H$8:H71)+0.0001,IF(OR(B72="",N72=0),0,VLOOKUP(A72,Journal!$C$7:M$83,7)))</f>
        <v>0</v>
      </c>
      <c r="I72" s="104">
        <f t="shared" si="1"/>
        <v>0</v>
      </c>
      <c r="J72" s="128"/>
      <c r="K72" s="244">
        <f>VLOOKUP(A72,Journal!$C$7:$M$83,4)</f>
        <v>0</v>
      </c>
      <c r="L72" s="245">
        <f>VLOOKUP(A72,Journal!$C$7:$M$83,5)</f>
        <v>0</v>
      </c>
      <c r="M72" s="245">
        <f t="shared" si="5"/>
        <v>0</v>
      </c>
      <c r="N72" s="245">
        <f t="shared" si="6"/>
        <v>0</v>
      </c>
      <c r="O72" s="200"/>
      <c r="P72" s="200">
        <f t="shared" si="7"/>
        <v>1.0000000000000001E-5</v>
      </c>
    </row>
    <row r="73" spans="1:16">
      <c r="A73">
        <f t="shared" si="4"/>
        <v>66</v>
      </c>
      <c r="B73" s="105" t="str">
        <f>IF(OR(B72="Total",B72=""),"",IF(VLOOKUP(A73,Journal!$C$7:$E$83,3)=0,"Total",VLOOKUP(A73,Journal!$C$7:$D$83,2)))</f>
        <v/>
      </c>
      <c r="C73" s="103" t="str">
        <f>IF(B73="","",VLOOKUP(A73,Journal!$C$7:$E$83,3))</f>
        <v/>
      </c>
      <c r="D73" s="106" t="str">
        <f>IF(B73="","",VLOOKUP(A73,Journal!$C$7:$J$83,8))</f>
        <v/>
      </c>
      <c r="E73" s="106" t="str">
        <f>IF(B73="","",VLOOKUP(A73,Journal!$C$7:$L$83,10))</f>
        <v/>
      </c>
      <c r="F73" s="101" t="str">
        <f>IF(B73="","",VLOOKUP(A73,Journal!$C$7:$M$83,11))</f>
        <v/>
      </c>
      <c r="G73" s="127">
        <f>IF(B73="Total",SUM(G$8:G72)+0.0001,IF(OR(B73="",M73=0),0,VLOOKUP(A73,Journal!$C$7:M$83,7)))</f>
        <v>0</v>
      </c>
      <c r="H73" s="127">
        <f>IF(B73="Total",SUM(H$8:H72)+0.0001,IF(OR(B73="",N73=0),0,VLOOKUP(A73,Journal!$C$7:M$83,7)))</f>
        <v>0</v>
      </c>
      <c r="I73" s="104">
        <f t="shared" si="1"/>
        <v>0</v>
      </c>
      <c r="J73" s="128"/>
      <c r="K73" s="244">
        <f>VLOOKUP(A73,Journal!$C$7:$M$83,4)</f>
        <v>0</v>
      </c>
      <c r="L73" s="245">
        <f>VLOOKUP(A73,Journal!$C$7:$M$83,5)</f>
        <v>0</v>
      </c>
      <c r="M73" s="245">
        <f t="shared" si="5"/>
        <v>0</v>
      </c>
      <c r="N73" s="245">
        <f t="shared" si="6"/>
        <v>0</v>
      </c>
      <c r="O73" s="200"/>
      <c r="P73" s="200">
        <f t="shared" si="7"/>
        <v>1.0000000000000001E-5</v>
      </c>
    </row>
    <row r="74" spans="1:16">
      <c r="A74">
        <f t="shared" si="4"/>
        <v>67</v>
      </c>
      <c r="B74" s="105" t="str">
        <f>IF(OR(B73="Total",B73=""),"",IF(VLOOKUP(A74,Journal!$C$7:$E$83,3)=0,"Total",VLOOKUP(A74,Journal!$C$7:$D$83,2)))</f>
        <v/>
      </c>
      <c r="C74" s="103" t="str">
        <f>IF(B74="","",VLOOKUP(A74,Journal!$C$7:$E$83,3))</f>
        <v/>
      </c>
      <c r="D74" s="106" t="str">
        <f>IF(B74="","",VLOOKUP(A74,Journal!$C$7:$J$83,8))</f>
        <v/>
      </c>
      <c r="E74" s="106" t="str">
        <f>IF(B74="","",VLOOKUP(A74,Journal!$C$7:$L$83,10))</f>
        <v/>
      </c>
      <c r="F74" s="101" t="str">
        <f>IF(B74="","",VLOOKUP(A74,Journal!$C$7:$M$83,11))</f>
        <v/>
      </c>
      <c r="G74" s="127">
        <f>IF(B74="Total",SUM(G$8:G73)+0.0001,IF(OR(B74="",M74=0),0,VLOOKUP(A74,Journal!$C$7:M$83,7)))</f>
        <v>0</v>
      </c>
      <c r="H74" s="127">
        <f>IF(B74="Total",SUM(H$8:H73)+0.0001,IF(OR(B74="",N74=0),0,VLOOKUP(A74,Journal!$C$7:M$83,7)))</f>
        <v>0</v>
      </c>
      <c r="I74" s="104">
        <f t="shared" ref="I74:I82" si="8">IF(B74="Total",I73,IF(B74="",0,I73+G74-H74))</f>
        <v>0</v>
      </c>
      <c r="J74" s="128"/>
      <c r="K74" s="244">
        <f>VLOOKUP(A74,Journal!$C$7:$M$83,4)</f>
        <v>0</v>
      </c>
      <c r="L74" s="245">
        <f>VLOOKUP(A74,Journal!$C$7:$M$83,5)</f>
        <v>0</v>
      </c>
      <c r="M74" s="245">
        <f t="shared" si="5"/>
        <v>0</v>
      </c>
      <c r="N74" s="245">
        <f t="shared" si="6"/>
        <v>0</v>
      </c>
      <c r="O74" s="200"/>
      <c r="P74" s="200">
        <f t="shared" si="7"/>
        <v>1.0000000000000001E-5</v>
      </c>
    </row>
    <row r="75" spans="1:16">
      <c r="A75">
        <f t="shared" ref="A75:A86" si="9">A74+1</f>
        <v>68</v>
      </c>
      <c r="B75" s="105" t="str">
        <f>IF(OR(B74="Total",B74=""),"",IF(VLOOKUP(A75,Journal!$C$7:$E$83,3)=0,"Total",VLOOKUP(A75,Journal!$C$7:$D$83,2)))</f>
        <v/>
      </c>
      <c r="C75" s="103" t="str">
        <f>IF(B75="","",VLOOKUP(A75,Journal!$C$7:$E$83,3))</f>
        <v/>
      </c>
      <c r="D75" s="106" t="str">
        <f>IF(B75="","",VLOOKUP(A75,Journal!$C$7:$J$83,8))</f>
        <v/>
      </c>
      <c r="E75" s="106" t="str">
        <f>IF(B75="","",VLOOKUP(A75,Journal!$C$7:$L$83,10))</f>
        <v/>
      </c>
      <c r="F75" s="101" t="str">
        <f>IF(B75="","",VLOOKUP(A75,Journal!$C$7:$M$83,11))</f>
        <v/>
      </c>
      <c r="G75" s="127">
        <f>IF(B75="Total",SUM(G$8:G74)+0.0001,IF(OR(B75="",M75=0),0,VLOOKUP(A75,Journal!$C$7:M$83,7)))</f>
        <v>0</v>
      </c>
      <c r="H75" s="127">
        <f>IF(B75="Total",SUM(H$8:H74)+0.0001,IF(OR(B75="",N75=0),0,VLOOKUP(A75,Journal!$C$7:M$83,7)))</f>
        <v>0</v>
      </c>
      <c r="I75" s="104">
        <f t="shared" si="8"/>
        <v>0</v>
      </c>
      <c r="J75" s="128"/>
      <c r="K75" s="244">
        <f>VLOOKUP(A75,Journal!$C$7:$M$83,4)</f>
        <v>0</v>
      </c>
      <c r="L75" s="245">
        <f>VLOOKUP(A75,Journal!$C$7:$M$83,5)</f>
        <v>0</v>
      </c>
      <c r="M75" s="245">
        <f t="shared" si="5"/>
        <v>0</v>
      </c>
      <c r="N75" s="245">
        <f t="shared" si="6"/>
        <v>0</v>
      </c>
      <c r="O75" s="200"/>
      <c r="P75" s="200">
        <f t="shared" si="7"/>
        <v>1.0000000000000001E-5</v>
      </c>
    </row>
    <row r="76" spans="1:16">
      <c r="A76">
        <f t="shared" si="9"/>
        <v>69</v>
      </c>
      <c r="B76" s="105" t="str">
        <f>IF(OR(B75="Total",B75=""),"",IF(VLOOKUP(A76,Journal!$C$7:$E$83,3)=0,"Total",VLOOKUP(A76,Journal!$C$7:$D$83,2)))</f>
        <v/>
      </c>
      <c r="C76" s="103" t="str">
        <f>IF(B76="","",VLOOKUP(A76,Journal!$C$7:$E$83,3))</f>
        <v/>
      </c>
      <c r="D76" s="106" t="str">
        <f>IF(B76="","",VLOOKUP(A76,Journal!$C$7:$J$83,8))</f>
        <v/>
      </c>
      <c r="E76" s="106" t="str">
        <f>IF(B76="","",VLOOKUP(A76,Journal!$C$7:$L$83,10))</f>
        <v/>
      </c>
      <c r="F76" s="101" t="str">
        <f>IF(B76="","",VLOOKUP(A76,Journal!$C$7:$M$83,11))</f>
        <v/>
      </c>
      <c r="G76" s="127">
        <f>IF(B76="Total",SUM(G$8:G75)+0.0001,IF(OR(B76="",M76=0),0,VLOOKUP(A76,Journal!$C$7:M$83,7)))</f>
        <v>0</v>
      </c>
      <c r="H76" s="127">
        <f>IF(B76="Total",SUM(H$8:H75)+0.0001,IF(OR(B76="",N76=0),0,VLOOKUP(A76,Journal!$C$7:M$83,7)))</f>
        <v>0</v>
      </c>
      <c r="I76" s="104">
        <f t="shared" si="8"/>
        <v>0</v>
      </c>
      <c r="J76" s="128"/>
      <c r="K76" s="244">
        <f>VLOOKUP(A76,Journal!$C$7:$M$83,4)</f>
        <v>0</v>
      </c>
      <c r="L76" s="245">
        <f>VLOOKUP(A76,Journal!$C$7:$M$83,5)</f>
        <v>0</v>
      </c>
      <c r="M76" s="245">
        <f t="shared" si="5"/>
        <v>0</v>
      </c>
      <c r="N76" s="245">
        <f t="shared" si="6"/>
        <v>0</v>
      </c>
      <c r="O76" s="200"/>
      <c r="P76" s="200">
        <f t="shared" si="7"/>
        <v>1.0000000000000001E-5</v>
      </c>
    </row>
    <row r="77" spans="1:16">
      <c r="A77">
        <f t="shared" si="9"/>
        <v>70</v>
      </c>
      <c r="B77" s="105" t="str">
        <f>IF(OR(B76="Total",B76=""),"",IF(VLOOKUP(A77,Journal!$C$7:$E$83,3)=0,"Total",VLOOKUP(A77,Journal!$C$7:$D$83,2)))</f>
        <v/>
      </c>
      <c r="C77" s="103" t="str">
        <f>IF(B77="","",VLOOKUP(A77,Journal!$C$7:$E$83,3))</f>
        <v/>
      </c>
      <c r="D77" s="106" t="str">
        <f>IF(B77="","",VLOOKUP(A77,Journal!$C$7:$J$83,8))</f>
        <v/>
      </c>
      <c r="E77" s="106" t="str">
        <f>IF(B77="","",VLOOKUP(A77,Journal!$C$7:$L$83,10))</f>
        <v/>
      </c>
      <c r="F77" s="101" t="str">
        <f>IF(B77="","",VLOOKUP(A77,Journal!$C$7:$M$83,11))</f>
        <v/>
      </c>
      <c r="G77" s="127">
        <f>IF(B77="Total",SUM(G$8:G76)+0.0001,IF(OR(B77="",M77=0),0,VLOOKUP(A77,Journal!$C$7:M$83,7)))</f>
        <v>0</v>
      </c>
      <c r="H77" s="127">
        <f>IF(B77="Total",SUM(H$8:H76)+0.0001,IF(OR(B77="",N77=0),0,VLOOKUP(A77,Journal!$C$7:M$83,7)))</f>
        <v>0</v>
      </c>
      <c r="I77" s="104">
        <f t="shared" si="8"/>
        <v>0</v>
      </c>
      <c r="J77" s="128"/>
      <c r="K77" s="244">
        <f>VLOOKUP(A77,Journal!$C$7:$M$83,4)</f>
        <v>0</v>
      </c>
      <c r="L77" s="245">
        <f>VLOOKUP(A77,Journal!$C$7:$M$83,5)</f>
        <v>0</v>
      </c>
      <c r="M77" s="245">
        <f t="shared" si="5"/>
        <v>0</v>
      </c>
      <c r="N77" s="245">
        <f t="shared" si="6"/>
        <v>0</v>
      </c>
      <c r="O77" s="200"/>
      <c r="P77" s="200">
        <f t="shared" si="7"/>
        <v>1.0000000000000001E-5</v>
      </c>
    </row>
    <row r="78" spans="1:16">
      <c r="A78">
        <f t="shared" si="9"/>
        <v>71</v>
      </c>
      <c r="B78" s="105" t="str">
        <f>IF(OR(B77="Total",B77=""),"",IF(VLOOKUP(A78,Journal!$C$7:$E$83,3)=0,"Total",VLOOKUP(A78,Journal!$C$7:$D$83,2)))</f>
        <v/>
      </c>
      <c r="C78" s="103" t="str">
        <f>IF(B78="","",VLOOKUP(A78,Journal!$C$7:$E$83,3))</f>
        <v/>
      </c>
      <c r="D78" s="106" t="str">
        <f>IF(B78="","",VLOOKUP(A78,Journal!$C$7:$J$83,8))</f>
        <v/>
      </c>
      <c r="E78" s="106" t="str">
        <f>IF(B78="","",VLOOKUP(A78,Journal!$C$7:$L$83,10))</f>
        <v/>
      </c>
      <c r="F78" s="101" t="str">
        <f>IF(B78="","",VLOOKUP(A78,Journal!$C$7:$M$83,11))</f>
        <v/>
      </c>
      <c r="G78" s="127">
        <f>IF(B78="Total",SUM(G$8:G77)+0.0001,IF(OR(B78="",M78=0),0,VLOOKUP(A78,Journal!$C$7:M$83,7)))</f>
        <v>0</v>
      </c>
      <c r="H78" s="127">
        <f>IF(B78="Total",SUM(H$8:H77)+0.0001,IF(OR(B78="",N78=0),0,VLOOKUP(A78,Journal!$C$7:M$83,7)))</f>
        <v>0</v>
      </c>
      <c r="I78" s="104">
        <f t="shared" si="8"/>
        <v>0</v>
      </c>
      <c r="J78" s="128"/>
      <c r="K78" s="244">
        <f>VLOOKUP(A78,Journal!$C$7:$M$83,4)</f>
        <v>0</v>
      </c>
      <c r="L78" s="245">
        <f>VLOOKUP(A78,Journal!$C$7:$M$83,5)</f>
        <v>0</v>
      </c>
      <c r="M78" s="245">
        <f t="shared" si="5"/>
        <v>0</v>
      </c>
      <c r="N78" s="245">
        <f t="shared" si="6"/>
        <v>0</v>
      </c>
      <c r="O78" s="200"/>
      <c r="P78" s="200">
        <f t="shared" si="7"/>
        <v>1.0000000000000001E-5</v>
      </c>
    </row>
    <row r="79" spans="1:16">
      <c r="A79">
        <f t="shared" si="9"/>
        <v>72</v>
      </c>
      <c r="B79" s="105" t="str">
        <f>IF(OR(B78="Total",B78=""),"",IF(VLOOKUP(A79,Journal!$C$7:$E$83,3)=0,"Total",VLOOKUP(A79,Journal!$C$7:$D$83,2)))</f>
        <v/>
      </c>
      <c r="C79" s="103" t="str">
        <f>IF(B79="","",VLOOKUP(A79,Journal!$C$7:$E$83,3))</f>
        <v/>
      </c>
      <c r="D79" s="106" t="str">
        <f>IF(B79="","",VLOOKUP(A79,Journal!$C$7:$J$83,8))</f>
        <v/>
      </c>
      <c r="E79" s="106" t="str">
        <f>IF(B79="","",VLOOKUP(A79,Journal!$C$7:$L$83,10))</f>
        <v/>
      </c>
      <c r="F79" s="101" t="str">
        <f>IF(B79="","",VLOOKUP(A79,Journal!$C$7:$M$83,11))</f>
        <v/>
      </c>
      <c r="G79" s="127">
        <f>IF(B79="Total",SUM(G$8:G78)+0.0001,IF(OR(B79="",M79=0),0,VLOOKUP(A79,Journal!$C$7:M$83,7)))</f>
        <v>0</v>
      </c>
      <c r="H79" s="127">
        <f>IF(B79="Total",SUM(H$8:H78)+0.0001,IF(OR(B79="",N79=0),0,VLOOKUP(A79,Journal!$C$7:M$83,7)))</f>
        <v>0</v>
      </c>
      <c r="I79" s="104">
        <f t="shared" si="8"/>
        <v>0</v>
      </c>
      <c r="J79" s="128"/>
      <c r="K79" s="244">
        <f>VLOOKUP(A79,Journal!$C$7:$M$83,4)</f>
        <v>0</v>
      </c>
      <c r="L79" s="245">
        <f>VLOOKUP(A79,Journal!$C$7:$M$83,5)</f>
        <v>0</v>
      </c>
      <c r="M79" s="245">
        <f t="shared" si="5"/>
        <v>0</v>
      </c>
      <c r="N79" s="245">
        <f t="shared" si="6"/>
        <v>0</v>
      </c>
      <c r="O79" s="200"/>
      <c r="P79" s="200">
        <f t="shared" si="7"/>
        <v>1.0000000000000001E-5</v>
      </c>
    </row>
    <row r="80" spans="1:16">
      <c r="A80">
        <f t="shared" si="9"/>
        <v>73</v>
      </c>
      <c r="B80" s="105" t="str">
        <f>IF(OR(B79="Total",B79=""),"",IF(VLOOKUP(A80,Journal!$C$7:$E$83,3)=0,"Total",VLOOKUP(A80,Journal!$C$7:$D$83,2)))</f>
        <v/>
      </c>
      <c r="C80" s="103" t="str">
        <f>IF(B80="","",VLOOKUP(A80,Journal!$C$7:$E$83,3))</f>
        <v/>
      </c>
      <c r="D80" s="106" t="str">
        <f>IF(B80="","",VLOOKUP(A80,Journal!$C$7:$J$83,8))</f>
        <v/>
      </c>
      <c r="E80" s="106" t="str">
        <f>IF(B80="","",VLOOKUP(A80,Journal!$C$7:$L$83,10))</f>
        <v/>
      </c>
      <c r="F80" s="101" t="str">
        <f>IF(B80="","",VLOOKUP(A80,Journal!$C$7:$M$83,11))</f>
        <v/>
      </c>
      <c r="G80" s="127">
        <f>IF(B80="Total",SUM(G$8:G79)+0.0001,IF(OR(B80="",M80=0),0,VLOOKUP(A80,Journal!$C$7:M$83,7)))</f>
        <v>0</v>
      </c>
      <c r="H80" s="127">
        <f>IF(B80="Total",SUM(H$8:H79)+0.0001,IF(OR(B80="",N80=0),0,VLOOKUP(A80,Journal!$C$7:M$83,7)))</f>
        <v>0</v>
      </c>
      <c r="I80" s="104">
        <f t="shared" si="8"/>
        <v>0</v>
      </c>
      <c r="J80" s="128"/>
      <c r="K80" s="244">
        <f>VLOOKUP(A80,Journal!$C$7:$M$83,4)</f>
        <v>0</v>
      </c>
      <c r="L80" s="245">
        <f>VLOOKUP(A80,Journal!$C$7:$M$83,5)</f>
        <v>0</v>
      </c>
      <c r="M80" s="245">
        <f t="shared" si="5"/>
        <v>0</v>
      </c>
      <c r="N80" s="245">
        <f t="shared" si="6"/>
        <v>0</v>
      </c>
      <c r="O80" s="200"/>
      <c r="P80" s="200">
        <f t="shared" si="7"/>
        <v>1.0000000000000001E-5</v>
      </c>
    </row>
    <row r="81" spans="1:16">
      <c r="A81">
        <f t="shared" si="9"/>
        <v>74</v>
      </c>
      <c r="B81" s="105" t="str">
        <f>IF(OR(B80="Total",B80=""),"",IF(VLOOKUP(A81,Journal!$C$7:$E$83,3)=0,"Total",VLOOKUP(A81,Journal!$C$7:$D$83,2)))</f>
        <v/>
      </c>
      <c r="C81" s="103" t="str">
        <f>IF(B81="","",VLOOKUP(A81,Journal!$C$7:$E$83,3))</f>
        <v/>
      </c>
      <c r="D81" s="106" t="str">
        <f>IF(B81="","",VLOOKUP(A81,Journal!$C$7:$J$83,8))</f>
        <v/>
      </c>
      <c r="E81" s="106" t="str">
        <f>IF(B81="","",VLOOKUP(A81,Journal!$C$7:$L$83,10))</f>
        <v/>
      </c>
      <c r="F81" s="101" t="str">
        <f>IF(B81="","",VLOOKUP(A81,Journal!$C$7:$M$83,11))</f>
        <v/>
      </c>
      <c r="G81" s="127">
        <f>IF(B81="Total",SUM(G$8:G80)+0.0001,IF(OR(B81="",M81=0),0,VLOOKUP(A81,Journal!$C$7:M$83,7)))</f>
        <v>0</v>
      </c>
      <c r="H81" s="127">
        <f>IF(B81="Total",SUM(H$8:H80)+0.0001,IF(OR(B81="",N81=0),0,VLOOKUP(A81,Journal!$C$7:M$83,7)))</f>
        <v>0</v>
      </c>
      <c r="I81" s="104">
        <f t="shared" si="8"/>
        <v>0</v>
      </c>
      <c r="J81" s="128"/>
      <c r="K81" s="244">
        <f>VLOOKUP(A81,Journal!$C$7:$M$83,4)</f>
        <v>0</v>
      </c>
      <c r="L81" s="245">
        <f>VLOOKUP(A81,Journal!$C$7:$M$83,5)</f>
        <v>0</v>
      </c>
      <c r="M81" s="245">
        <f t="shared" si="5"/>
        <v>0</v>
      </c>
      <c r="N81" s="245">
        <f t="shared" si="6"/>
        <v>0</v>
      </c>
      <c r="O81" s="200"/>
      <c r="P81" s="200">
        <f t="shared" si="7"/>
        <v>1.0000000000000001E-5</v>
      </c>
    </row>
    <row r="82" spans="1:16">
      <c r="A82">
        <f t="shared" si="9"/>
        <v>75</v>
      </c>
      <c r="B82" s="105" t="str">
        <f>IF(OR(B81="Total",B81=""),"",IF(VLOOKUP(A82,Journal!$C$7:$E$83,3)=0,"Total",VLOOKUP(A82,Journal!$C$7:$D$83,2)))</f>
        <v/>
      </c>
      <c r="C82" s="103" t="str">
        <f>IF(B82="","",VLOOKUP(A82,Journal!$C$7:$E$83,3))</f>
        <v/>
      </c>
      <c r="D82" s="106" t="str">
        <f>IF(B82="","",VLOOKUP(A82,Journal!$C$7:$J$83,8))</f>
        <v/>
      </c>
      <c r="E82" s="106" t="str">
        <f>IF(B82="","",VLOOKUP(A82,Journal!$C$7:$L$83,10))</f>
        <v/>
      </c>
      <c r="F82" s="101" t="str">
        <f>IF(B82="","",VLOOKUP(A82,Journal!$C$7:$M$83,11))</f>
        <v/>
      </c>
      <c r="G82" s="127">
        <f>IF(B82="Total",SUM(G$8:G81)+0.0001,IF(OR(B82="",M82=0),0,VLOOKUP(A82,Journal!$C$7:M$83,7)))</f>
        <v>0</v>
      </c>
      <c r="H82" s="127">
        <f>IF(B82="Total",SUM(H$8:H81)+0.0001,IF(OR(B82="",N82=0),0,VLOOKUP(A82,Journal!$C$7:M$83,7)))</f>
        <v>0</v>
      </c>
      <c r="I82" s="104">
        <f t="shared" si="8"/>
        <v>0</v>
      </c>
      <c r="J82" s="128"/>
      <c r="K82" s="244">
        <f>VLOOKUP(A82,Journal!$C$7:$M$83,4)</f>
        <v>0</v>
      </c>
      <c r="L82" s="245">
        <f>VLOOKUP(A82,Journal!$C$7:$M$83,5)</f>
        <v>0</v>
      </c>
      <c r="M82" s="245">
        <f t="shared" si="5"/>
        <v>0</v>
      </c>
      <c r="N82" s="245">
        <f t="shared" si="6"/>
        <v>0</v>
      </c>
      <c r="O82" s="200"/>
      <c r="P82" s="200">
        <f t="shared" si="7"/>
        <v>1.0000000000000001E-5</v>
      </c>
    </row>
    <row r="83" spans="1:16">
      <c r="A83">
        <f t="shared" si="9"/>
        <v>76</v>
      </c>
      <c r="B83" s="105" t="str">
        <f>IF(OR(B82="Total",B82=""),"",IF(VLOOKUP(A83,Journal!$C$7:$E$83,3)=0,"Total",VLOOKUP(A83,Journal!$C$7:$D$83,2)))</f>
        <v/>
      </c>
      <c r="C83" s="103" t="str">
        <f>IF(B83="","",VLOOKUP(A83,Journal!$C$7:$E$83,3))</f>
        <v/>
      </c>
      <c r="D83" s="106" t="str">
        <f>IF(B83="","",VLOOKUP(A83,Journal!$C$7:$J$83,8))</f>
        <v/>
      </c>
      <c r="E83" s="106" t="str">
        <f>IF(B83="","",VLOOKUP(A83,Journal!$C$7:$L$83,10))</f>
        <v/>
      </c>
      <c r="F83" s="101" t="str">
        <f>IF(B83="","",VLOOKUP(A83,Journal!$C$7:$M$83,11))</f>
        <v/>
      </c>
      <c r="G83" s="127">
        <f>IF(B83="Total",SUM(G$8:G82)+0.0001,IF(OR(B83="",M83=0),0,VLOOKUP(A83,Journal!$C$7:M$83,7)))</f>
        <v>0</v>
      </c>
      <c r="H83" s="127">
        <f>IF(B83="Total",SUM(H$8:H82)+0.0001,IF(OR(B83="",N83=0),0,VLOOKUP(A83,Journal!$C$7:M$83,7)))</f>
        <v>0</v>
      </c>
      <c r="I83" s="104">
        <f>IF(B83="Total",I82,IF(B83="",0,I82+G83-H83))</f>
        <v>0</v>
      </c>
      <c r="J83" s="128"/>
      <c r="K83" s="244">
        <f>VLOOKUP(A83,Journal!$C$7:$M$83,4)</f>
        <v>0</v>
      </c>
      <c r="L83" s="245">
        <f>VLOOKUP(A83,Journal!$C$7:$M$83,5)</f>
        <v>0</v>
      </c>
      <c r="M83" s="245">
        <f>IF(AND(L83&gt;=$F$1,L83&lt;9999),1,0)</f>
        <v>0</v>
      </c>
      <c r="N83" s="245">
        <f>IF(AND(K83&gt;=$F$1,K83&lt;9999),1,0)</f>
        <v>0</v>
      </c>
      <c r="O83" s="200"/>
      <c r="P83" s="200">
        <f>IF(I82=I83,I82+0.00001,I83)</f>
        <v>1.0000000000000001E-5</v>
      </c>
    </row>
    <row r="84" spans="1:16">
      <c r="A84">
        <f t="shared" si="9"/>
        <v>77</v>
      </c>
      <c r="B84" s="105" t="str">
        <f>IF(OR(B83="Total",B83=""),"",IF(VLOOKUP(A84,Journal!$C$7:$E$83,3)=0,"Total",VLOOKUP(A84,Journal!$C$7:$D$83,2)))</f>
        <v/>
      </c>
      <c r="C84" s="103" t="str">
        <f>IF(B84="","",VLOOKUP(A84,Journal!$C$7:$E$83,3))</f>
        <v/>
      </c>
      <c r="D84" s="106" t="str">
        <f>IF(B84="","",VLOOKUP(A84,Journal!$C$7:$J$83,8))</f>
        <v/>
      </c>
      <c r="E84" s="106" t="str">
        <f>IF(B84="","",VLOOKUP(A84,Journal!$C$7:$L$83,10))</f>
        <v/>
      </c>
      <c r="F84" s="101" t="str">
        <f>IF(B84="","",VLOOKUP(A84,Journal!$C$7:$M$83,11))</f>
        <v/>
      </c>
      <c r="G84" s="127">
        <f>IF(B84="Total",SUM(G$8:G83)+0.0001,IF(OR(B84="",M84=0),0,VLOOKUP(A84,Journal!$C$7:M$83,7)))</f>
        <v>0</v>
      </c>
      <c r="H84" s="127">
        <f>IF(B84="Total",SUM(H$8:H83)+0.0001,IF(OR(B84="",N84=0),0,VLOOKUP(A84,Journal!$C$7:M$83,7)))</f>
        <v>0</v>
      </c>
      <c r="I84" s="104">
        <f>IF(B84="Total",I83,IF(B84="",0,I83+G84-H84))</f>
        <v>0</v>
      </c>
      <c r="J84" s="128"/>
      <c r="K84" s="244">
        <f>VLOOKUP(A84,Journal!$C$7:$M$83,4)</f>
        <v>0</v>
      </c>
      <c r="L84" s="245">
        <f>VLOOKUP(A84,Journal!$C$7:$M$83,5)</f>
        <v>0</v>
      </c>
      <c r="M84" s="245">
        <f>IF(AND(L84&gt;=$F$1,L84&lt;9999),1,0)</f>
        <v>0</v>
      </c>
      <c r="N84" s="245">
        <f>IF(AND(K84&gt;=$F$1,K84&lt;9999),1,0)</f>
        <v>0</v>
      </c>
      <c r="O84" s="200"/>
      <c r="P84" s="200">
        <f>IF(I83=I84,I83+0.00001,I84)</f>
        <v>1.0000000000000001E-5</v>
      </c>
    </row>
    <row r="85" spans="1:16">
      <c r="A85">
        <f t="shared" si="9"/>
        <v>78</v>
      </c>
      <c r="B85" s="105" t="str">
        <f>IF(OR(B84="Total",B84=""),"",IF(VLOOKUP(A85,Journal!$C$7:$E$83,3)=0,"Total",VLOOKUP(A85,Journal!$C$7:$D$83,2)))</f>
        <v/>
      </c>
      <c r="C85" s="103" t="str">
        <f>IF(B85="","",VLOOKUP(A85,Journal!$C$7:$E$83,3))</f>
        <v/>
      </c>
      <c r="D85" s="106" t="str">
        <f>IF(B85="","",VLOOKUP(A85,Journal!$C$7:$J$83,8))</f>
        <v/>
      </c>
      <c r="E85" s="106" t="str">
        <f>IF(B85="","",VLOOKUP(A85,Journal!$C$7:$L$83,10))</f>
        <v/>
      </c>
      <c r="F85" s="101" t="str">
        <f>IF(B85="","",VLOOKUP(A85,Journal!$C$7:$M$83,11))</f>
        <v/>
      </c>
      <c r="G85" s="127">
        <f>IF(B85="Total",SUM(G$8:G84)+0.0001,IF(OR(B85="",M85=0),0,VLOOKUP(A85,Journal!$C$7:M$83,7)))</f>
        <v>0</v>
      </c>
      <c r="H85" s="127">
        <f>IF(B85="Total",SUM(H$8:H84)+0.0001,IF(OR(B85="",N85=0),0,VLOOKUP(A85,Journal!$C$7:M$83,7)))</f>
        <v>0</v>
      </c>
      <c r="I85" s="104">
        <f>IF(B85="Total",I84,IF(B85="",0,I84+G85-H85))</f>
        <v>0</v>
      </c>
      <c r="J85" s="128"/>
      <c r="K85" s="244">
        <f>VLOOKUP(A85,Journal!$C$7:$M$83,4)</f>
        <v>0</v>
      </c>
      <c r="L85" s="245">
        <f>VLOOKUP(A85,Journal!$C$7:$M$83,5)</f>
        <v>0</v>
      </c>
      <c r="M85" s="245">
        <f>IF(AND(L85&gt;=$F$1,L85&lt;9999),1,0)</f>
        <v>0</v>
      </c>
      <c r="N85" s="245">
        <f>IF(AND(K85&gt;=$F$1,K85&lt;9999),1,0)</f>
        <v>0</v>
      </c>
      <c r="O85" s="200"/>
      <c r="P85" s="200">
        <f>IF(I84=I85,I84+0.00001,I85)</f>
        <v>1.0000000000000001E-5</v>
      </c>
    </row>
    <row r="86" spans="1:16">
      <c r="A86">
        <f t="shared" si="9"/>
        <v>79</v>
      </c>
      <c r="B86" s="105" t="str">
        <f>IF(OR(B85="Total",B85=""),"",IF(VLOOKUP(A86,Journal!$C$7:$E$83,3)=0,"Total",VLOOKUP(A86,Journal!$C$7:$D$83,2)))</f>
        <v/>
      </c>
      <c r="C86" s="103" t="str">
        <f>IF(B86="","",VLOOKUP(A86,Journal!$C$7:$E$83,3))</f>
        <v/>
      </c>
      <c r="D86" s="106" t="str">
        <f>IF(B86="","",VLOOKUP(A86,Journal!$C$7:$J$83,8))</f>
        <v/>
      </c>
      <c r="E86" s="106" t="str">
        <f>IF(B86="","",VLOOKUP(A86,Journal!$C$7:$L$83,10))</f>
        <v/>
      </c>
      <c r="F86" s="101" t="str">
        <f>IF(B86="","",VLOOKUP(A86,Journal!$C$7:$M$83,11))</f>
        <v/>
      </c>
      <c r="G86" s="127">
        <f>IF(B86="Total",SUM(G$8:G85)+0.0001,IF(OR(B86="",M86=0),0,VLOOKUP(A86,Journal!$C$7:M$83,7)))</f>
        <v>0</v>
      </c>
      <c r="H86" s="127">
        <f>IF(B86="Total",SUM(H$8:H85)+0.0001,IF(OR(B86="",N86=0),0,VLOOKUP(A86,Journal!$C$7:M$83,7)))</f>
        <v>0</v>
      </c>
      <c r="I86" s="104">
        <f>IF(B86="Total",I85,IF(B86="",0,I85+G86-H86))</f>
        <v>0</v>
      </c>
      <c r="J86" s="128"/>
      <c r="K86" s="244">
        <f>VLOOKUP(A86,Journal!$C$7:$M$83,4)</f>
        <v>0</v>
      </c>
      <c r="L86" s="245">
        <f>VLOOKUP(A86,Journal!$C$7:$M$83,5)</f>
        <v>0</v>
      </c>
      <c r="M86" s="245">
        <f>IF(AND(L86&gt;=$F$1,L86&lt;9999),1,0)</f>
        <v>0</v>
      </c>
      <c r="N86" s="245">
        <f>IF(AND(K86&gt;=$F$1,K86&lt;9999),1,0)</f>
        <v>0</v>
      </c>
      <c r="O86" s="200"/>
      <c r="P86" s="200">
        <f>IF(I85=I86,I85+0.00001,I86)</f>
        <v>1.0000000000000001E-5</v>
      </c>
    </row>
    <row r="87" spans="1:16">
      <c r="B87" s="101" t="s">
        <v>295</v>
      </c>
      <c r="C87" s="103"/>
      <c r="D87" s="107" t="s">
        <v>181</v>
      </c>
      <c r="E87" s="101"/>
      <c r="F87" s="101"/>
      <c r="G87" s="104">
        <f>SUM(G8:G86)/2+0.00005</f>
        <v>1E-4</v>
      </c>
      <c r="H87" s="104">
        <f>SUM(H8:H86)/2+0.00005</f>
        <v>1E-4</v>
      </c>
      <c r="I87" s="108">
        <f>I86</f>
        <v>0</v>
      </c>
      <c r="P87">
        <f>IF(I86=I87,I86+0.00001,I87)</f>
        <v>1.0000000000000001E-5</v>
      </c>
    </row>
    <row r="88" spans="1:16">
      <c r="D88" t="str">
        <f>IF(E88="","",Journal!J87)</f>
        <v/>
      </c>
      <c r="E88" s="12" t="str">
        <f>IF(AND(G88=0,H88=0),"",Journal!L87)</f>
        <v/>
      </c>
      <c r="F88" t="str">
        <f>IF(E88="","",Journal!M87)</f>
        <v/>
      </c>
      <c r="G88" s="85"/>
      <c r="H88" s="85"/>
      <c r="I88" s="85"/>
    </row>
    <row r="89" spans="1:16">
      <c r="D89" t="str">
        <f>IF(E89="","",Journal!J88)</f>
        <v/>
      </c>
      <c r="E89" s="12" t="str">
        <f>IF(AND(G89=0,H89=0),"",Journal!L88)</f>
        <v/>
      </c>
      <c r="F89" t="str">
        <f>IF(E89="","",Journal!M88)</f>
        <v/>
      </c>
      <c r="G89" s="85"/>
      <c r="H89" s="85"/>
      <c r="I89" s="85"/>
    </row>
    <row r="90" spans="1:16">
      <c r="D90" t="str">
        <f>IF(E90="","",Journal!J89)</f>
        <v/>
      </c>
      <c r="E90" s="12" t="str">
        <f>IF(AND(G90=0,H90=0),"",Journal!L89)</f>
        <v/>
      </c>
      <c r="F90" t="str">
        <f>IF(E90="","",Journal!M89)</f>
        <v/>
      </c>
      <c r="G90" s="85"/>
      <c r="H90" s="85"/>
      <c r="I90" s="85"/>
    </row>
    <row r="91" spans="1:16">
      <c r="D91" t="str">
        <f>IF(E91="","",Journal!J90)</f>
        <v/>
      </c>
      <c r="E91" s="12" t="str">
        <f>IF(AND(G91=0,H91=0),"",Journal!L90)</f>
        <v/>
      </c>
      <c r="F91" t="str">
        <f>IF(E91="","",Journal!M90)</f>
        <v/>
      </c>
      <c r="G91" s="85"/>
      <c r="H91" s="85"/>
      <c r="I91" s="85"/>
    </row>
  </sheetData>
  <sheetProtection sheet="1" formatCells="0" formatColumns="0" formatRows="0"/>
  <mergeCells count="5">
    <mergeCell ref="B1:E1"/>
    <mergeCell ref="B2:D2"/>
    <mergeCell ref="B4:I4"/>
    <mergeCell ref="E5:F5"/>
    <mergeCell ref="G5:H5"/>
  </mergeCells>
  <phoneticPr fontId="0" type="noConversion"/>
  <conditionalFormatting sqref="I88:I91">
    <cfRule type="cellIs" dxfId="22" priority="26" stopIfTrue="1" operator="equal">
      <formula>I87</formula>
    </cfRule>
  </conditionalFormatting>
  <conditionalFormatting sqref="I7">
    <cfRule type="cellIs" dxfId="21" priority="27" stopIfTrue="1" operator="equal">
      <formula>#REF!</formula>
    </cfRule>
  </conditionalFormatting>
  <conditionalFormatting sqref="E7:F7 E87:F87 E8:E82">
    <cfRule type="cellIs" dxfId="20" priority="28" stopIfTrue="1" operator="equal">
      <formula>$G$2</formula>
    </cfRule>
  </conditionalFormatting>
  <conditionalFormatting sqref="C8:D82">
    <cfRule type="cellIs" dxfId="19" priority="29" stopIfTrue="1" operator="equal">
      <formula>0</formula>
    </cfRule>
  </conditionalFormatting>
  <conditionalFormatting sqref="F8:F82">
    <cfRule type="cellIs" dxfId="18" priority="30" stopIfTrue="1" operator="equal">
      <formula>$G$2</formula>
    </cfRule>
    <cfRule type="cellIs" dxfId="17" priority="31" stopIfTrue="1" operator="equal">
      <formula>0</formula>
    </cfRule>
  </conditionalFormatting>
  <conditionalFormatting sqref="B4:I4">
    <cfRule type="cellIs" dxfId="16" priority="32" stopIfTrue="1" operator="notEqual">
      <formula>$P$3</formula>
    </cfRule>
  </conditionalFormatting>
  <conditionalFormatting sqref="B8">
    <cfRule type="cellIs" dxfId="15" priority="33" stopIfTrue="1" operator="equal">
      <formula>"Total"</formula>
    </cfRule>
  </conditionalFormatting>
  <conditionalFormatting sqref="B9:B82">
    <cfRule type="cellIs" dxfId="14" priority="34" stopIfTrue="1" operator="equal">
      <formula>"Total"</formula>
    </cfRule>
  </conditionalFormatting>
  <conditionalFormatting sqref="G8:G9 G11:G82">
    <cfRule type="cellIs" dxfId="13" priority="23" stopIfTrue="1" operator="equal">
      <formula>$G$87</formula>
    </cfRule>
  </conditionalFormatting>
  <conditionalFormatting sqref="H8:H9 H11:H82">
    <cfRule type="cellIs" dxfId="12" priority="22" stopIfTrue="1" operator="equal">
      <formula>$H$87</formula>
    </cfRule>
  </conditionalFormatting>
  <conditionalFormatting sqref="I8:I82">
    <cfRule type="cellIs" dxfId="11" priority="20" stopIfTrue="1" operator="equal">
      <formula>I7</formula>
    </cfRule>
  </conditionalFormatting>
  <conditionalFormatting sqref="B2:D2">
    <cfRule type="cellIs" dxfId="10" priority="50" stopIfTrue="1" operator="equal">
      <formula>"Diesen Kontoauszug können Sie problemlos ausdrucken"</formula>
    </cfRule>
  </conditionalFormatting>
  <conditionalFormatting sqref="G10">
    <cfRule type="cellIs" dxfId="9" priority="14" stopIfTrue="1" operator="equal">
      <formula>$G$87</formula>
    </cfRule>
  </conditionalFormatting>
  <conditionalFormatting sqref="H10">
    <cfRule type="cellIs" dxfId="8" priority="13" stopIfTrue="1" operator="equal">
      <formula>$H$87</formula>
    </cfRule>
  </conditionalFormatting>
  <conditionalFormatting sqref="E83:E86">
    <cfRule type="cellIs" dxfId="7" priority="4" stopIfTrue="1" operator="equal">
      <formula>$G$2</formula>
    </cfRule>
  </conditionalFormatting>
  <conditionalFormatting sqref="C83:D86">
    <cfRule type="cellIs" dxfId="6" priority="5" stopIfTrue="1" operator="equal">
      <formula>0</formula>
    </cfRule>
  </conditionalFormatting>
  <conditionalFormatting sqref="F83:F86">
    <cfRule type="cellIs" dxfId="5" priority="6" stopIfTrue="1" operator="equal">
      <formula>$G$2</formula>
    </cfRule>
    <cfRule type="cellIs" dxfId="4" priority="7" stopIfTrue="1" operator="equal">
      <formula>0</formula>
    </cfRule>
  </conditionalFormatting>
  <conditionalFormatting sqref="B83:B86">
    <cfRule type="cellIs" dxfId="3" priority="8" stopIfTrue="1" operator="equal">
      <formula>"Total"</formula>
    </cfRule>
  </conditionalFormatting>
  <conditionalFormatting sqref="G83:G86">
    <cfRule type="cellIs" dxfId="2" priority="3" stopIfTrue="1" operator="equal">
      <formula>$G$87</formula>
    </cfRule>
  </conditionalFormatting>
  <conditionalFormatting sqref="H83:H86">
    <cfRule type="cellIs" dxfId="1" priority="2" stopIfTrue="1" operator="equal">
      <formula>$H$87</formula>
    </cfRule>
  </conditionalFormatting>
  <conditionalFormatting sqref="I83:I86">
    <cfRule type="cellIs" dxfId="0" priority="1" stopIfTrue="1" operator="equal">
      <formula>I82</formula>
    </cfRule>
  </conditionalFormatting>
  <pageMargins left="0.59055118110236227" right="0.59055118110236227" top="0.39370078740157483" bottom="0.59055118110236227" header="0.51181102362204722" footer="0.51181102362204722"/>
  <pageSetup paperSize="9" scale="95" orientation="landscape" r:id="rId1"/>
  <headerFooter alignWithMargins="0">
    <oddFooter>&amp;L&amp;8Ausdruck vom &amp;D, &amp;T&amp;C&amp;8vereinsbuchhaltung.ch&amp;R&amp;8Seite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51"/>
  <sheetViews>
    <sheetView topLeftCell="C1" workbookViewId="0">
      <pane ySplit="8" topLeftCell="C9" activePane="bottomLeft" state="frozen"/>
      <selection pane="bottomLeft" activeCell="C9" sqref="C9"/>
      <selection activeCell="C1" sqref="C1"/>
    </sheetView>
  </sheetViews>
  <sheetFormatPr defaultColWidth="11.42578125" defaultRowHeight="12.75"/>
  <cols>
    <col min="1" max="2" width="0" hidden="1" customWidth="1"/>
    <col min="3" max="3" width="15.28515625" customWidth="1"/>
    <col min="4" max="4" width="26.42578125" customWidth="1"/>
    <col min="5" max="5" width="11.7109375" customWidth="1"/>
    <col min="6" max="6" width="27.28515625" customWidth="1"/>
    <col min="7" max="7" width="0" hidden="1" customWidth="1"/>
    <col min="8" max="8" width="4.140625" hidden="1" customWidth="1"/>
    <col min="9" max="9" width="64.28515625" customWidth="1"/>
    <col min="10" max="37" width="0" hidden="1" customWidth="1"/>
  </cols>
  <sheetData>
    <row r="1" spans="1:28" ht="207.75" customHeight="1">
      <c r="C1" s="248" t="s">
        <v>64</v>
      </c>
      <c r="D1" s="249"/>
      <c r="E1" s="249"/>
      <c r="F1" s="249"/>
      <c r="G1" s="247"/>
      <c r="H1" s="247"/>
      <c r="I1" s="247"/>
    </row>
    <row r="2" spans="1:28" ht="21.75" customHeight="1">
      <c r="C2" s="2"/>
      <c r="D2" s="250" t="str">
        <f>IF(Calc!J2="","Bitte Vereins-/Firmennamen im Register Journal eingeben",CONCATENATE("Kontenplan ",Journal!D1))</f>
        <v>Kontenplan Hier STWEG-Namen eingeben</v>
      </c>
      <c r="E2" s="250"/>
      <c r="F2" s="250"/>
      <c r="G2" s="86"/>
      <c r="R2" t="s">
        <v>65</v>
      </c>
      <c r="S2" t="s">
        <v>66</v>
      </c>
      <c r="T2" t="s">
        <v>67</v>
      </c>
      <c r="U2" t="s">
        <v>68</v>
      </c>
      <c r="W2" t="s">
        <v>69</v>
      </c>
      <c r="Y2" t="s">
        <v>70</v>
      </c>
      <c r="Z2" t="s">
        <v>71</v>
      </c>
      <c r="AA2" t="s">
        <v>72</v>
      </c>
      <c r="AB2" t="s">
        <v>68</v>
      </c>
    </row>
    <row r="3" spans="1:28" ht="102" hidden="1">
      <c r="C3" t="s">
        <v>73</v>
      </c>
      <c r="D3" s="202"/>
      <c r="E3" s="202"/>
      <c r="F3" s="204" t="str">
        <f>CONCATENATE("ist keine zulässige Bezeichnung für eine Kontenkategorie. Bitte ändern Sie diese in ",F4,", sonst entstehen Fehler in Berechnungen.")</f>
        <v>ist keine zulässige Bezeichnung für eine Kontenkategorie. Bitte ändern Sie diese in Aktivkonto, Passivkonto, Aufwandskonto oder Ertragskonto, sonst entstehen Fehler in Berechnungen.</v>
      </c>
      <c r="G3" s="3"/>
    </row>
    <row r="4" spans="1:28" ht="38.25" hidden="1">
      <c r="C4" t="s">
        <v>74</v>
      </c>
      <c r="D4" s="202"/>
      <c r="E4" s="202"/>
      <c r="F4" s="204" t="str">
        <f>CONCATENATE(C3,", ",C4,", ",C5," oder ",C6)</f>
        <v>Aktivkonto, Passivkonto, Aufwandskonto oder Ertragskonto</v>
      </c>
      <c r="G4" s="3"/>
    </row>
    <row r="5" spans="1:28" hidden="1">
      <c r="C5" t="s">
        <v>75</v>
      </c>
      <c r="D5" s="202"/>
      <c r="E5" s="202"/>
      <c r="F5" s="202"/>
      <c r="G5" s="3"/>
    </row>
    <row r="6" spans="1:28" hidden="1">
      <c r="C6" t="s">
        <v>76</v>
      </c>
      <c r="D6" s="202"/>
      <c r="E6" s="202"/>
      <c r="F6" s="202"/>
      <c r="G6" s="3"/>
    </row>
    <row r="7" spans="1:28" hidden="1">
      <c r="C7" t="s">
        <v>77</v>
      </c>
      <c r="D7" s="202"/>
      <c r="E7" s="202"/>
      <c r="F7" s="202"/>
      <c r="G7" s="3"/>
    </row>
    <row r="8" spans="1:28" ht="31.5" customHeight="1">
      <c r="A8" s="4" t="s">
        <v>78</v>
      </c>
      <c r="B8" s="4" t="s">
        <v>79</v>
      </c>
      <c r="C8" s="4" t="s">
        <v>80</v>
      </c>
      <c r="D8" s="4" t="s">
        <v>81</v>
      </c>
      <c r="E8" s="92" t="s">
        <v>82</v>
      </c>
      <c r="F8" s="4" t="s">
        <v>83</v>
      </c>
      <c r="G8" s="95"/>
      <c r="H8" s="93"/>
      <c r="I8" s="4" t="s">
        <v>84</v>
      </c>
      <c r="R8">
        <v>0</v>
      </c>
      <c r="S8">
        <v>0</v>
      </c>
      <c r="T8">
        <v>0</v>
      </c>
      <c r="U8">
        <v>0</v>
      </c>
    </row>
    <row r="9" spans="1:28">
      <c r="A9">
        <v>1</v>
      </c>
      <c r="B9">
        <v>1</v>
      </c>
      <c r="C9" s="5"/>
      <c r="D9" s="6" t="s">
        <v>85</v>
      </c>
      <c r="E9" s="207"/>
      <c r="F9" s="207"/>
      <c r="H9">
        <f>C9</f>
        <v>0</v>
      </c>
      <c r="I9" s="7" t="str">
        <f>IF(AND(AND(C9="",D9="",E9="",F9=""),OR(C10&lt;&gt;"",D10&lt;&gt;"")),"Bitte diese Zeile nicht leer lassen",IF(AND(D9&lt;&gt;"",OR(C9&lt;&gt;"",E9&lt;&gt;"",F9&lt;&gt;"")),"Bitte Zeile nur als Titelzeile (Spalte D) oder als Kontozeile (andere Spalten) verwenden",IF(E9="","",IF(AND(E9&lt;&gt;"",F9&lt;&gt;"",C9=""),"Bitte gültige Kontokategorie (s. oben) zuweisen",IF(OR(E9&lt;1000,E9&gt;9999),CONCATENATE(E9," auf Spalte F ist keine vierstellige Kontonummer"),IF(OR(C9=C$3,C9=C$4,C9=C$5,C9=C$6),"","Bitte gültige Kontokategorie eingeben"))))))</f>
        <v/>
      </c>
      <c r="M9" s="153"/>
      <c r="Q9">
        <f t="shared" ref="Q9:Q67" si="0">E9</f>
        <v>0</v>
      </c>
      <c r="R9">
        <f>IF(OR(AND(D9&lt;&gt;"",C10="",C11=$C$3),AND(D9&lt;&gt;"",C10=$C$3)),R8+1,R8)</f>
        <v>1</v>
      </c>
      <c r="S9">
        <f>IF(OR(AND(D9&lt;&gt;"",C10="",C11=$C$4),AND(D9&lt;&gt;"",C10=$C$4)),S8+1,S8)</f>
        <v>0</v>
      </c>
      <c r="T9">
        <f>IF(OR(AND(D9&lt;&gt;"",C10="",C11=$C$5),AND(D9&lt;&gt;"",C10=$C$5)),T8+1,T8)</f>
        <v>0</v>
      </c>
      <c r="U9">
        <f t="shared" ref="U9:U67" si="1">IF(OR(AND(D9&lt;&gt;"",C10="",C11=$C$6),AND(D9&lt;&gt;"",C10=$C$6)),U8+1,U8)</f>
        <v>0</v>
      </c>
      <c r="W9">
        <f>IF(E9="",W8+0.0001,E9)</f>
        <v>1E-4</v>
      </c>
      <c r="Y9">
        <f>IF(T9-T8=0,Y8+0.00001,T9)</f>
        <v>1.0000000000000001E-5</v>
      </c>
      <c r="Z9">
        <f>IF(U9-U8=0,Z8+0.00001,U9)</f>
        <v>1.0000000000000001E-5</v>
      </c>
      <c r="AA9" t="str">
        <f>IF(T9-T8=0,"",D9)</f>
        <v/>
      </c>
      <c r="AB9" t="str">
        <f t="shared" ref="AB9:AB72" si="2">IF(U9-U8=0,"",D9)</f>
        <v/>
      </c>
    </row>
    <row r="10" spans="1:28">
      <c r="A10">
        <f>A9+1</f>
        <v>2</v>
      </c>
      <c r="B10">
        <f>B9+2</f>
        <v>3</v>
      </c>
      <c r="C10" s="5"/>
      <c r="D10" s="6" t="s">
        <v>86</v>
      </c>
      <c r="E10" s="207"/>
      <c r="F10" s="207"/>
      <c r="H10">
        <f t="shared" ref="H10:H73" si="3">C10</f>
        <v>0</v>
      </c>
      <c r="I10" s="120" t="str">
        <f>IF(AND(AND(C10="",D10="",E10="",F10=""),OR(C11&lt;&gt;"",D11&lt;&gt;"")),"Bitte diese Zeile nicht leer lassen",IF(AND(D10&lt;&gt;"",OR(C10&lt;&gt;"",E10&lt;&gt;"",F10&lt;&gt;"")),"Bitte Zeile nur als Titelzeile (Spalte D) oder als Kontozeile (andere Spalten) verwenden",IF(E10="","",IF(AND(E10&lt;&gt;"",F10&lt;&gt;"",C10=""),"Bitte gültige Kontokategorie (s. oben) zuweisen",IF(E10&lt;=E9,"Kontonummern müssen aufsteigend eingegeben werden.",IF(OR(E10&lt;1000,E10&gt;9999),CONCATENATE(E10," auf Spalte F ist keine vierstellige Kontonummer"),IF(OR(C10=C$3,C10=C$4,C10=C$5,C10=C$6),"","Bitte gültige Kontokategorie eingeben")))))))</f>
        <v/>
      </c>
      <c r="Q10">
        <f t="shared" si="0"/>
        <v>0</v>
      </c>
      <c r="R10">
        <f t="shared" ref="R10:R67" si="4">IF(OR(AND(D10&lt;&gt;"",C11="",C12=$C$3),AND(D10&lt;&gt;"",C11=$C$3)),R9+1,R9)</f>
        <v>2</v>
      </c>
      <c r="S10">
        <f t="shared" ref="S10:S67" si="5">IF(OR(AND(D10&lt;&gt;"",C11="",C12=$C$4),AND(D10&lt;&gt;"",C11=$C$4)),S9+1,S9)</f>
        <v>0</v>
      </c>
      <c r="T10">
        <f t="shared" ref="T10:T67" si="6">IF(OR(AND(D10&lt;&gt;"",C11="",C12=$C$5),AND(D10&lt;&gt;"",C11=$C$5)),T9+1,T9)</f>
        <v>0</v>
      </c>
      <c r="U10">
        <f t="shared" si="1"/>
        <v>0</v>
      </c>
      <c r="W10">
        <f>IF(E10="",W9+0.0001,E10)</f>
        <v>2.0000000000000001E-4</v>
      </c>
      <c r="Y10">
        <f t="shared" ref="Y10:Y73" si="7">IF(T10-T9=0,Y9+0.00001,T10)</f>
        <v>2.0000000000000002E-5</v>
      </c>
      <c r="Z10">
        <f t="shared" ref="Z10:Z73" si="8">IF(U10-U9=0,Z9+0.00001,U10)</f>
        <v>2.0000000000000002E-5</v>
      </c>
      <c r="AA10" t="str">
        <f t="shared" ref="AA10:AA73" si="9">IF(T10-T9=0,"",D10)</f>
        <v/>
      </c>
      <c r="AB10" t="str">
        <f t="shared" si="2"/>
        <v/>
      </c>
    </row>
    <row r="11" spans="1:28" ht="12.75" customHeight="1">
      <c r="A11">
        <f t="shared" ref="A11:A74" si="10">A10+1</f>
        <v>3</v>
      </c>
      <c r="B11">
        <f t="shared" ref="B11:B74" si="11">B10+2</f>
        <v>5</v>
      </c>
      <c r="C11" s="5" t="s">
        <v>73</v>
      </c>
      <c r="D11" s="6"/>
      <c r="E11" s="207">
        <v>1000</v>
      </c>
      <c r="F11" s="207" t="s">
        <v>87</v>
      </c>
      <c r="H11" t="str">
        <f t="shared" si="3"/>
        <v>Aktivkonto</v>
      </c>
      <c r="I11" s="120" t="str">
        <f>IF(AND(AND(C11="",D11="",E11="",F11=""),OR(C12&lt;&gt;"",D12&lt;&gt;"")),"Bitte diese Zeile nicht leer lassen",IF(AND(D11&lt;&gt;"",OR(C11&lt;&gt;"",E11&lt;&gt;"",F11&lt;&gt;"")),"Bitte Zeile nur als Titelzeile (Spalte D) oder als Kontozeile (andere Spalten) verwenden",IF(E11="","",IF(AND(E11&lt;&gt;"",F11&lt;&gt;"",C11=""),"Bitte gültige Kontokategorie (s. oben) zuweisen",IF(OR(E11&lt;=E10,E11&lt;=E9),"Kontonummern müssen aufsteigend eingegeben werden.",IF(OR(E11&lt;1000,E11&gt;9999),CONCATENATE(E11," auf Spalte F ist keine vierstellige Kontonummer"),IF(OR(C11=C$3,C11=C$4,C11=C$5,C11=C$6),"","Bitte gültige Kontokategorie eingeben")))))))</f>
        <v/>
      </c>
      <c r="Q11">
        <f t="shared" si="0"/>
        <v>1000</v>
      </c>
      <c r="R11">
        <f t="shared" si="4"/>
        <v>2</v>
      </c>
      <c r="S11">
        <f t="shared" si="5"/>
        <v>0</v>
      </c>
      <c r="T11">
        <f t="shared" si="6"/>
        <v>0</v>
      </c>
      <c r="U11">
        <f t="shared" si="1"/>
        <v>0</v>
      </c>
      <c r="W11">
        <f t="shared" ref="W11:W67" si="12">IF(E11="",W10+0.0001,E11)</f>
        <v>1000</v>
      </c>
      <c r="Y11">
        <f t="shared" si="7"/>
        <v>3.0000000000000004E-5</v>
      </c>
      <c r="Z11">
        <f t="shared" si="8"/>
        <v>3.0000000000000004E-5</v>
      </c>
      <c r="AA11" t="str">
        <f t="shared" si="9"/>
        <v/>
      </c>
      <c r="AB11" t="str">
        <f t="shared" si="2"/>
        <v/>
      </c>
    </row>
    <row r="12" spans="1:28">
      <c r="A12">
        <f t="shared" si="10"/>
        <v>4</v>
      </c>
      <c r="B12">
        <f t="shared" si="11"/>
        <v>7</v>
      </c>
      <c r="C12" s="5" t="s">
        <v>73</v>
      </c>
      <c r="D12" s="6"/>
      <c r="E12" s="207">
        <v>1010</v>
      </c>
      <c r="F12" s="207" t="s">
        <v>88</v>
      </c>
      <c r="H12" t="str">
        <f t="shared" si="3"/>
        <v>Aktivkonto</v>
      </c>
      <c r="I12" s="120" t="str">
        <f>IF(AND(AND(C12="",D12="",E12="",F12=""),OR(C13&lt;&gt;"",D13&lt;&gt;"")),"Bitte diese Zeile nicht leer lassen",IF(AND(D12&lt;&gt;"",OR(C12&lt;&gt;"",E12&lt;&gt;"",F12&lt;&gt;"")),"Bitte Zeile nur als Titelzeile (Spalte D) oder als Kontozeile (andere Spalten) verwenden",IF(E12="","",IF(AND(E12&lt;&gt;"",F12&lt;&gt;"",C12=""),"Bitte gültige Kontokategorie (s. oben) zuweisen",IF(OR(E12&lt;=E11,E12&lt;=E10),"Kontonummern müssen aufsteigend eingegeben werden.",IF(OR(E12&lt;1000,E12&gt;9999),CONCATENATE(E12," auf Spalte F ist keine vierstellige Kontonummer"),IF(OR(C12=C$3,C12=C$4,C12=C$5,C12=C$6),"","Bitte gültige Kontokategorie eingeben")))))))</f>
        <v/>
      </c>
      <c r="Q12">
        <f t="shared" si="0"/>
        <v>1010</v>
      </c>
      <c r="R12">
        <f t="shared" si="4"/>
        <v>2</v>
      </c>
      <c r="S12">
        <f t="shared" si="5"/>
        <v>0</v>
      </c>
      <c r="T12">
        <f t="shared" si="6"/>
        <v>0</v>
      </c>
      <c r="U12">
        <f t="shared" si="1"/>
        <v>0</v>
      </c>
      <c r="W12">
        <f t="shared" si="12"/>
        <v>1010</v>
      </c>
      <c r="Y12">
        <f t="shared" si="7"/>
        <v>4.0000000000000003E-5</v>
      </c>
      <c r="Z12">
        <f t="shared" si="8"/>
        <v>4.0000000000000003E-5</v>
      </c>
      <c r="AA12" t="str">
        <f t="shared" si="9"/>
        <v/>
      </c>
      <c r="AB12" t="str">
        <f t="shared" si="2"/>
        <v/>
      </c>
    </row>
    <row r="13" spans="1:28" ht="15" customHeight="1">
      <c r="A13">
        <f t="shared" si="10"/>
        <v>5</v>
      </c>
      <c r="B13">
        <f t="shared" si="11"/>
        <v>9</v>
      </c>
      <c r="C13" s="5" t="s">
        <v>73</v>
      </c>
      <c r="D13" s="6"/>
      <c r="E13" s="207">
        <v>1020</v>
      </c>
      <c r="F13" s="207" t="s">
        <v>89</v>
      </c>
      <c r="H13" t="str">
        <f t="shared" si="3"/>
        <v>Aktivkonto</v>
      </c>
      <c r="I13" s="120" t="str">
        <f>IF(AND(AND(C13="",D13="",E13="",F13=""),OR(C14&lt;&gt;"",D14&lt;&gt;"")),"Bitte diese Zeile nicht leer lassen",IF(AND(D13&lt;&gt;"",OR(C13&lt;&gt;"",E13&lt;&gt;"",F13&lt;&gt;"")),"Bitte Zeile nur als Titelzeile (Spalte D) oder als Kontozeile (andere Spalten) verwenden",IF(E13="","",IF(AND(E13&lt;&gt;"",F13&lt;&gt;"",C13=""),"Bitte gültige Kontokategorie (s. oben) zuweisen",IF(OR(E13&lt;=E12,E13&lt;=E11),"Kontonummern müssen aufsteigend eingegeben werden.",IF(OR(E13&lt;1000,E13&gt;9999),CONCATENATE(E13," auf Spalte F ist keine vierstellige Kontonummer"),IF(OR(C13=C$3,C13=C$4,C13=C$5,C13=C$6),"","Bitte gültige Kontokategorie eingeben")))))))</f>
        <v/>
      </c>
      <c r="Q13">
        <f t="shared" si="0"/>
        <v>1020</v>
      </c>
      <c r="R13">
        <f t="shared" si="4"/>
        <v>2</v>
      </c>
      <c r="S13">
        <f t="shared" si="5"/>
        <v>0</v>
      </c>
      <c r="T13">
        <f t="shared" si="6"/>
        <v>0</v>
      </c>
      <c r="U13">
        <f t="shared" si="1"/>
        <v>0</v>
      </c>
      <c r="W13">
        <f t="shared" si="12"/>
        <v>1020</v>
      </c>
      <c r="Y13">
        <f t="shared" si="7"/>
        <v>5.0000000000000002E-5</v>
      </c>
      <c r="Z13">
        <f t="shared" si="8"/>
        <v>5.0000000000000002E-5</v>
      </c>
      <c r="AA13" t="str">
        <f t="shared" si="9"/>
        <v/>
      </c>
      <c r="AB13" t="str">
        <f t="shared" si="2"/>
        <v/>
      </c>
    </row>
    <row r="14" spans="1:28">
      <c r="A14">
        <f t="shared" si="10"/>
        <v>6</v>
      </c>
      <c r="B14">
        <f t="shared" si="11"/>
        <v>11</v>
      </c>
      <c r="C14" s="5" t="s">
        <v>73</v>
      </c>
      <c r="D14" s="6"/>
      <c r="E14" s="207">
        <v>1030</v>
      </c>
      <c r="F14" s="207" t="s">
        <v>90</v>
      </c>
      <c r="H14" t="str">
        <f t="shared" si="3"/>
        <v>Aktivkonto</v>
      </c>
      <c r="I14" s="120" t="str">
        <f>IF(AND(AND(C14="",D14="",E14="",F14=""),OR(C15&lt;&gt;"",D15&lt;&gt;"")),"Bitte diese Zeile nicht leer lassen",IF(AND(D14&lt;&gt;"",OR(C14&lt;&gt;"",E14&lt;&gt;"",F14&lt;&gt;"")),"Bitte Zeile nur als Titelzeile (Spalte D) oder als Kontozeile (andere Spalten) verwenden",IF(E14="","",IF(AND(E14&lt;&gt;"",F14&lt;&gt;"",C14=""),"Bitte gültige Kontokategorie (s. oben) zuweisen",IF(OR(E14&lt;=E13,E14&lt;=E12),"Kontonummern müssen aufsteigend eingegeben werden.",IF(OR(E14&lt;1000,E14&gt;9999),CONCATENATE(E14," auf Spalte F ist keine vierstellige Kontonummer"),IF(OR(C14=C$3,C14=C$4,C14=C$5,C14=C$6),"","Bitte gültige Kontokategorie eingeben")))))))</f>
        <v/>
      </c>
      <c r="Q14">
        <f t="shared" si="0"/>
        <v>1030</v>
      </c>
      <c r="R14">
        <f t="shared" si="4"/>
        <v>2</v>
      </c>
      <c r="S14">
        <f t="shared" si="5"/>
        <v>0</v>
      </c>
      <c r="T14">
        <f t="shared" si="6"/>
        <v>0</v>
      </c>
      <c r="U14">
        <f t="shared" si="1"/>
        <v>0</v>
      </c>
      <c r="W14">
        <f t="shared" si="12"/>
        <v>1030</v>
      </c>
      <c r="Y14">
        <f t="shared" si="7"/>
        <v>6.0000000000000002E-5</v>
      </c>
      <c r="Z14">
        <f t="shared" si="8"/>
        <v>6.0000000000000002E-5</v>
      </c>
      <c r="AA14" t="str">
        <f t="shared" si="9"/>
        <v/>
      </c>
      <c r="AB14" t="str">
        <f t="shared" si="2"/>
        <v/>
      </c>
    </row>
    <row r="15" spans="1:28">
      <c r="A15">
        <f t="shared" si="10"/>
        <v>7</v>
      </c>
      <c r="B15">
        <f t="shared" si="11"/>
        <v>13</v>
      </c>
      <c r="C15" s="5"/>
      <c r="D15" s="6" t="s">
        <v>91</v>
      </c>
      <c r="E15" s="207"/>
      <c r="F15" s="207"/>
      <c r="H15">
        <f t="shared" si="3"/>
        <v>0</v>
      </c>
      <c r="I15" s="120" t="str">
        <f>IF(AND(AND(C15="",D15="",E15="",F15=""),OR(C16&lt;&gt;"",D16&lt;&gt;"")),"Bitte diese Zeile nicht leer lassen",IF(AND(D15&lt;&gt;"",OR(C15&lt;&gt;"",E15&lt;&gt;"",F15&lt;&gt;"")),"Bitte Zeile nur als Titelzeile (Spalte D) oder als Kontozeile (andere Spalten) verwenden",IF(E15="","",IF(AND(E15&lt;&gt;"",F15&lt;&gt;"",C15=""),"Bitte gültige Kontokategorie (s. oben) zuweisen",IF(OR(E15&lt;=E14,E15&lt;=E13),"Kontonummern müssen aufsteigend eingegeben werden.",IF(OR(E15&lt;1000,E15&gt;9999),CONCATENATE(E15," auf Spalte F ist keine vierstellige Kontonummer"),IF(OR(C15=C$3,C15=C$4,C15=C$5,C15=C$6),"","Bitte gültige Kontokategorie eingeben")))))))</f>
        <v/>
      </c>
      <c r="Q15">
        <f t="shared" si="0"/>
        <v>0</v>
      </c>
      <c r="R15">
        <f t="shared" si="4"/>
        <v>3</v>
      </c>
      <c r="S15">
        <f t="shared" si="5"/>
        <v>0</v>
      </c>
      <c r="T15">
        <f t="shared" si="6"/>
        <v>0</v>
      </c>
      <c r="U15">
        <f t="shared" si="1"/>
        <v>0</v>
      </c>
      <c r="W15">
        <f t="shared" si="12"/>
        <v>1030.0001</v>
      </c>
      <c r="Y15">
        <f t="shared" si="7"/>
        <v>7.0000000000000007E-5</v>
      </c>
      <c r="Z15">
        <f t="shared" si="8"/>
        <v>7.0000000000000007E-5</v>
      </c>
      <c r="AA15" t="str">
        <f t="shared" si="9"/>
        <v/>
      </c>
      <c r="AB15" t="str">
        <f t="shared" si="2"/>
        <v/>
      </c>
    </row>
    <row r="16" spans="1:28">
      <c r="A16">
        <f t="shared" si="10"/>
        <v>8</v>
      </c>
      <c r="B16">
        <f t="shared" si="11"/>
        <v>15</v>
      </c>
      <c r="C16" s="5" t="s">
        <v>73</v>
      </c>
      <c r="D16" s="6"/>
      <c r="E16" s="207">
        <v>1100</v>
      </c>
      <c r="F16" s="207" t="s">
        <v>92</v>
      </c>
      <c r="H16" t="str">
        <f t="shared" si="3"/>
        <v>Aktivkonto</v>
      </c>
      <c r="I16" s="120" t="str">
        <f t="shared" ref="I16:I79" si="13">IF(AND(AND(C16="",D16="",E16="",F16=""),OR(C17&lt;&gt;"",D17&lt;&gt;"")),"Bitte diese Zeile nicht leer lassen",IF(AND(D16&lt;&gt;"",OR(C16&lt;&gt;"",E16&lt;&gt;"",F16&lt;&gt;"")),"Bitte Zeile nur als Titelzeile (Spalte D) oder als Kontozeile (andere Spalten) verwenden",IF(E16="","",IF(AND(E16&lt;&gt;"",F16&lt;&gt;"",C16=""),"Bitte gültige Kontokategorie (s. oben) zuweisen",IF(OR(E16&lt;=E15,E16&lt;=E14),"Kontonummern müssen aufsteigend eingegeben werden.",IF(OR(E16&lt;1000,E16&gt;9999),CONCATENATE(E16," auf Spalte F ist keine vierstellige Kontonummer"),IF(OR(C16=C$3,C16=C$4,C16=C$5,C16=C$6),"","Bitte gültige Kontokategorie eingeben")))))))</f>
        <v/>
      </c>
      <c r="Q16">
        <f t="shared" si="0"/>
        <v>1100</v>
      </c>
      <c r="R16">
        <f t="shared" si="4"/>
        <v>3</v>
      </c>
      <c r="S16">
        <f t="shared" si="5"/>
        <v>0</v>
      </c>
      <c r="T16">
        <f t="shared" si="6"/>
        <v>0</v>
      </c>
      <c r="U16">
        <f t="shared" si="1"/>
        <v>0</v>
      </c>
      <c r="W16">
        <f t="shared" si="12"/>
        <v>1100</v>
      </c>
      <c r="Y16">
        <f t="shared" si="7"/>
        <v>8.0000000000000007E-5</v>
      </c>
      <c r="Z16">
        <f t="shared" si="8"/>
        <v>8.0000000000000007E-5</v>
      </c>
      <c r="AA16" t="str">
        <f t="shared" si="9"/>
        <v/>
      </c>
      <c r="AB16" t="str">
        <f t="shared" si="2"/>
        <v/>
      </c>
    </row>
    <row r="17" spans="1:28">
      <c r="A17">
        <f t="shared" si="10"/>
        <v>9</v>
      </c>
      <c r="B17">
        <f t="shared" si="11"/>
        <v>17</v>
      </c>
      <c r="C17" s="5" t="s">
        <v>73</v>
      </c>
      <c r="D17" s="6"/>
      <c r="E17" s="207">
        <v>1200</v>
      </c>
      <c r="F17" s="207" t="s">
        <v>93</v>
      </c>
      <c r="H17" t="str">
        <f t="shared" si="3"/>
        <v>Aktivkonto</v>
      </c>
      <c r="I17" s="120" t="str">
        <f t="shared" si="13"/>
        <v/>
      </c>
      <c r="Q17">
        <f t="shared" si="0"/>
        <v>1200</v>
      </c>
      <c r="R17">
        <f t="shared" si="4"/>
        <v>3</v>
      </c>
      <c r="S17">
        <f t="shared" si="5"/>
        <v>0</v>
      </c>
      <c r="T17">
        <f t="shared" si="6"/>
        <v>0</v>
      </c>
      <c r="U17">
        <f t="shared" si="1"/>
        <v>0</v>
      </c>
      <c r="W17">
        <f t="shared" si="12"/>
        <v>1200</v>
      </c>
      <c r="Y17">
        <f t="shared" si="7"/>
        <v>9.0000000000000006E-5</v>
      </c>
      <c r="Z17">
        <f t="shared" si="8"/>
        <v>9.0000000000000006E-5</v>
      </c>
      <c r="AA17" t="str">
        <f t="shared" si="9"/>
        <v/>
      </c>
      <c r="AB17" t="str">
        <f t="shared" si="2"/>
        <v/>
      </c>
    </row>
    <row r="18" spans="1:28">
      <c r="A18">
        <f t="shared" si="10"/>
        <v>10</v>
      </c>
      <c r="B18">
        <f t="shared" si="11"/>
        <v>19</v>
      </c>
      <c r="C18" s="5" t="s">
        <v>73</v>
      </c>
      <c r="D18" s="6"/>
      <c r="E18" s="207">
        <v>1300</v>
      </c>
      <c r="F18" s="207" t="s">
        <v>94</v>
      </c>
      <c r="H18" t="str">
        <f t="shared" si="3"/>
        <v>Aktivkonto</v>
      </c>
      <c r="I18" s="120" t="str">
        <f t="shared" si="13"/>
        <v/>
      </c>
      <c r="Q18">
        <f t="shared" si="0"/>
        <v>1300</v>
      </c>
      <c r="R18">
        <f t="shared" si="4"/>
        <v>3</v>
      </c>
      <c r="S18">
        <f t="shared" si="5"/>
        <v>0</v>
      </c>
      <c r="T18">
        <f t="shared" si="6"/>
        <v>0</v>
      </c>
      <c r="U18">
        <f t="shared" si="1"/>
        <v>0</v>
      </c>
      <c r="W18">
        <f t="shared" si="12"/>
        <v>1300</v>
      </c>
      <c r="Y18">
        <f t="shared" si="7"/>
        <v>1E-4</v>
      </c>
      <c r="Z18">
        <f t="shared" si="8"/>
        <v>1E-4</v>
      </c>
      <c r="AA18" t="str">
        <f t="shared" si="9"/>
        <v/>
      </c>
      <c r="AB18" t="str">
        <f t="shared" si="2"/>
        <v/>
      </c>
    </row>
    <row r="19" spans="1:28">
      <c r="A19">
        <f t="shared" si="10"/>
        <v>11</v>
      </c>
      <c r="B19">
        <f t="shared" si="11"/>
        <v>21</v>
      </c>
      <c r="C19" s="5"/>
      <c r="D19" s="6" t="s">
        <v>95</v>
      </c>
      <c r="E19" s="207"/>
      <c r="F19" s="207"/>
      <c r="H19">
        <f t="shared" si="3"/>
        <v>0</v>
      </c>
      <c r="I19" s="120" t="str">
        <f t="shared" si="13"/>
        <v/>
      </c>
      <c r="Q19">
        <f t="shared" si="0"/>
        <v>0</v>
      </c>
      <c r="R19">
        <f t="shared" si="4"/>
        <v>3</v>
      </c>
      <c r="S19">
        <f t="shared" si="5"/>
        <v>1</v>
      </c>
      <c r="T19">
        <f t="shared" si="6"/>
        <v>0</v>
      </c>
      <c r="U19">
        <f t="shared" si="1"/>
        <v>0</v>
      </c>
      <c r="W19">
        <f t="shared" si="12"/>
        <v>1300.0001</v>
      </c>
      <c r="Y19">
        <f t="shared" si="7"/>
        <v>1.1E-4</v>
      </c>
      <c r="Z19">
        <f t="shared" si="8"/>
        <v>1.1E-4</v>
      </c>
      <c r="AA19" t="str">
        <f t="shared" si="9"/>
        <v/>
      </c>
      <c r="AB19" t="str">
        <f t="shared" si="2"/>
        <v/>
      </c>
    </row>
    <row r="20" spans="1:28">
      <c r="A20">
        <f t="shared" si="10"/>
        <v>12</v>
      </c>
      <c r="B20">
        <f t="shared" si="11"/>
        <v>23</v>
      </c>
      <c r="C20" s="5" t="s">
        <v>74</v>
      </c>
      <c r="D20" s="6"/>
      <c r="E20" s="207">
        <v>2000</v>
      </c>
      <c r="F20" s="207" t="s">
        <v>96</v>
      </c>
      <c r="H20" t="str">
        <f t="shared" si="3"/>
        <v>Passivkonto</v>
      </c>
      <c r="I20" s="120" t="str">
        <f t="shared" si="13"/>
        <v/>
      </c>
      <c r="Q20">
        <f t="shared" si="0"/>
        <v>2000</v>
      </c>
      <c r="R20">
        <f t="shared" si="4"/>
        <v>3</v>
      </c>
      <c r="S20">
        <f t="shared" si="5"/>
        <v>1</v>
      </c>
      <c r="T20">
        <f t="shared" si="6"/>
        <v>0</v>
      </c>
      <c r="U20">
        <f t="shared" si="1"/>
        <v>0</v>
      </c>
      <c r="W20">
        <f t="shared" si="12"/>
        <v>2000</v>
      </c>
      <c r="Y20">
        <f t="shared" si="7"/>
        <v>1.2E-4</v>
      </c>
      <c r="Z20">
        <f t="shared" si="8"/>
        <v>1.2E-4</v>
      </c>
      <c r="AA20" t="str">
        <f t="shared" si="9"/>
        <v/>
      </c>
      <c r="AB20" t="str">
        <f t="shared" si="2"/>
        <v/>
      </c>
    </row>
    <row r="21" spans="1:28">
      <c r="A21">
        <f t="shared" si="10"/>
        <v>13</v>
      </c>
      <c r="B21">
        <f t="shared" si="11"/>
        <v>25</v>
      </c>
      <c r="C21" s="5" t="s">
        <v>74</v>
      </c>
      <c r="D21" s="6"/>
      <c r="E21" s="207">
        <v>2300</v>
      </c>
      <c r="F21" s="207" t="s">
        <v>97</v>
      </c>
      <c r="H21" t="str">
        <f t="shared" si="3"/>
        <v>Passivkonto</v>
      </c>
      <c r="I21" s="120" t="str">
        <f t="shared" si="13"/>
        <v/>
      </c>
      <c r="Q21">
        <f t="shared" si="0"/>
        <v>2300</v>
      </c>
      <c r="R21">
        <f t="shared" si="4"/>
        <v>3</v>
      </c>
      <c r="S21">
        <f t="shared" si="5"/>
        <v>1</v>
      </c>
      <c r="T21">
        <f t="shared" si="6"/>
        <v>0</v>
      </c>
      <c r="U21">
        <f t="shared" si="1"/>
        <v>0</v>
      </c>
      <c r="W21">
        <f t="shared" si="12"/>
        <v>2300</v>
      </c>
      <c r="Y21">
        <f t="shared" si="7"/>
        <v>1.3000000000000002E-4</v>
      </c>
      <c r="Z21">
        <f t="shared" si="8"/>
        <v>1.3000000000000002E-4</v>
      </c>
      <c r="AA21" t="str">
        <f t="shared" si="9"/>
        <v/>
      </c>
      <c r="AB21" t="str">
        <f t="shared" si="2"/>
        <v/>
      </c>
    </row>
    <row r="22" spans="1:28">
      <c r="A22">
        <f t="shared" si="10"/>
        <v>14</v>
      </c>
      <c r="B22">
        <f t="shared" si="11"/>
        <v>27</v>
      </c>
      <c r="C22" s="5" t="s">
        <v>74</v>
      </c>
      <c r="D22" s="6"/>
      <c r="E22" s="207">
        <v>2500</v>
      </c>
      <c r="F22" s="207" t="s">
        <v>98</v>
      </c>
      <c r="H22" t="str">
        <f t="shared" si="3"/>
        <v>Passivkonto</v>
      </c>
      <c r="I22" s="120" t="str">
        <f t="shared" si="13"/>
        <v/>
      </c>
      <c r="Q22">
        <f t="shared" si="0"/>
        <v>2500</v>
      </c>
      <c r="R22">
        <f t="shared" si="4"/>
        <v>3</v>
      </c>
      <c r="S22">
        <f t="shared" si="5"/>
        <v>1</v>
      </c>
      <c r="T22">
        <f t="shared" si="6"/>
        <v>0</v>
      </c>
      <c r="U22">
        <f t="shared" si="1"/>
        <v>0</v>
      </c>
      <c r="W22">
        <f t="shared" si="12"/>
        <v>2500</v>
      </c>
      <c r="Y22">
        <f t="shared" si="7"/>
        <v>1.4000000000000001E-4</v>
      </c>
      <c r="Z22">
        <f t="shared" si="8"/>
        <v>1.4000000000000001E-4</v>
      </c>
      <c r="AA22" t="str">
        <f t="shared" si="9"/>
        <v/>
      </c>
      <c r="AB22" t="str">
        <f t="shared" si="2"/>
        <v/>
      </c>
    </row>
    <row r="23" spans="1:28">
      <c r="A23">
        <f t="shared" si="10"/>
        <v>15</v>
      </c>
      <c r="B23">
        <f t="shared" si="11"/>
        <v>29</v>
      </c>
      <c r="C23" s="5" t="s">
        <v>74</v>
      </c>
      <c r="D23" s="6"/>
      <c r="E23" s="207">
        <v>2600</v>
      </c>
      <c r="F23" s="207" t="s">
        <v>99</v>
      </c>
      <c r="H23" t="str">
        <f t="shared" si="3"/>
        <v>Passivkonto</v>
      </c>
      <c r="I23" s="120" t="str">
        <f t="shared" si="13"/>
        <v/>
      </c>
      <c r="Q23">
        <f t="shared" si="0"/>
        <v>2600</v>
      </c>
      <c r="R23">
        <f t="shared" si="4"/>
        <v>3</v>
      </c>
      <c r="S23">
        <f t="shared" si="5"/>
        <v>1</v>
      </c>
      <c r="T23">
        <f t="shared" si="6"/>
        <v>0</v>
      </c>
      <c r="U23">
        <f t="shared" si="1"/>
        <v>0</v>
      </c>
      <c r="W23">
        <f t="shared" si="12"/>
        <v>2600</v>
      </c>
      <c r="Y23">
        <f t="shared" si="7"/>
        <v>1.5000000000000001E-4</v>
      </c>
      <c r="Z23">
        <f t="shared" si="8"/>
        <v>1.5000000000000001E-4</v>
      </c>
      <c r="AA23" t="str">
        <f t="shared" si="9"/>
        <v/>
      </c>
      <c r="AB23" t="str">
        <f t="shared" si="2"/>
        <v/>
      </c>
    </row>
    <row r="24" spans="1:28">
      <c r="A24">
        <f t="shared" si="10"/>
        <v>16</v>
      </c>
      <c r="B24">
        <f t="shared" si="11"/>
        <v>31</v>
      </c>
      <c r="C24" s="5"/>
      <c r="D24" s="6" t="s">
        <v>100</v>
      </c>
      <c r="E24" s="207"/>
      <c r="F24" s="207"/>
      <c r="H24">
        <f t="shared" si="3"/>
        <v>0</v>
      </c>
      <c r="I24" s="120" t="str">
        <f t="shared" si="13"/>
        <v/>
      </c>
      <c r="Q24">
        <f t="shared" si="0"/>
        <v>0</v>
      </c>
      <c r="R24">
        <f t="shared" si="4"/>
        <v>3</v>
      </c>
      <c r="S24">
        <f t="shared" si="5"/>
        <v>2</v>
      </c>
      <c r="T24">
        <f t="shared" si="6"/>
        <v>0</v>
      </c>
      <c r="U24">
        <f t="shared" si="1"/>
        <v>0</v>
      </c>
      <c r="W24">
        <f t="shared" si="12"/>
        <v>2600.0001000000002</v>
      </c>
      <c r="Y24">
        <f t="shared" si="7"/>
        <v>1.6000000000000001E-4</v>
      </c>
      <c r="Z24">
        <f t="shared" si="8"/>
        <v>1.6000000000000001E-4</v>
      </c>
      <c r="AA24" t="str">
        <f t="shared" si="9"/>
        <v/>
      </c>
      <c r="AB24" t="str">
        <f t="shared" si="2"/>
        <v/>
      </c>
    </row>
    <row r="25" spans="1:28">
      <c r="A25">
        <f t="shared" si="10"/>
        <v>17</v>
      </c>
      <c r="B25">
        <f t="shared" si="11"/>
        <v>33</v>
      </c>
      <c r="C25" s="5" t="s">
        <v>74</v>
      </c>
      <c r="D25" s="6"/>
      <c r="E25" s="207">
        <v>2800</v>
      </c>
      <c r="F25" s="207" t="s">
        <v>101</v>
      </c>
      <c r="H25" t="str">
        <f t="shared" si="3"/>
        <v>Passivkonto</v>
      </c>
      <c r="I25" s="120" t="str">
        <f t="shared" si="13"/>
        <v/>
      </c>
      <c r="Q25">
        <f t="shared" si="0"/>
        <v>2800</v>
      </c>
      <c r="R25">
        <f t="shared" si="4"/>
        <v>3</v>
      </c>
      <c r="S25">
        <f t="shared" si="5"/>
        <v>2</v>
      </c>
      <c r="T25">
        <f t="shared" si="6"/>
        <v>0</v>
      </c>
      <c r="U25">
        <f t="shared" si="1"/>
        <v>0</v>
      </c>
      <c r="W25">
        <f t="shared" si="12"/>
        <v>2800</v>
      </c>
      <c r="Y25">
        <f t="shared" si="7"/>
        <v>1.7000000000000001E-4</v>
      </c>
      <c r="Z25">
        <f t="shared" si="8"/>
        <v>1.7000000000000001E-4</v>
      </c>
      <c r="AA25" t="str">
        <f t="shared" si="9"/>
        <v/>
      </c>
      <c r="AB25" t="str">
        <f t="shared" si="2"/>
        <v/>
      </c>
    </row>
    <row r="26" spans="1:28">
      <c r="A26">
        <f t="shared" si="10"/>
        <v>18</v>
      </c>
      <c r="B26">
        <f t="shared" si="11"/>
        <v>35</v>
      </c>
      <c r="C26" s="5" t="s">
        <v>74</v>
      </c>
      <c r="D26" s="6"/>
      <c r="E26" s="207">
        <v>2900</v>
      </c>
      <c r="F26" s="207" t="s">
        <v>102</v>
      </c>
      <c r="H26" t="str">
        <f t="shared" si="3"/>
        <v>Passivkonto</v>
      </c>
      <c r="I26" s="120" t="str">
        <f t="shared" si="13"/>
        <v/>
      </c>
      <c r="Q26">
        <f t="shared" si="0"/>
        <v>2900</v>
      </c>
      <c r="R26">
        <f t="shared" si="4"/>
        <v>3</v>
      </c>
      <c r="S26">
        <f t="shared" si="5"/>
        <v>2</v>
      </c>
      <c r="T26">
        <f t="shared" si="6"/>
        <v>0</v>
      </c>
      <c r="U26">
        <f t="shared" si="1"/>
        <v>0</v>
      </c>
      <c r="W26">
        <f t="shared" si="12"/>
        <v>2900</v>
      </c>
      <c r="Y26">
        <f t="shared" si="7"/>
        <v>1.8000000000000001E-4</v>
      </c>
      <c r="Z26">
        <f t="shared" si="8"/>
        <v>1.8000000000000001E-4</v>
      </c>
      <c r="AA26" t="str">
        <f t="shared" si="9"/>
        <v/>
      </c>
      <c r="AB26" t="str">
        <f t="shared" si="2"/>
        <v/>
      </c>
    </row>
    <row r="27" spans="1:28">
      <c r="A27">
        <f t="shared" si="10"/>
        <v>19</v>
      </c>
      <c r="B27">
        <f t="shared" si="11"/>
        <v>37</v>
      </c>
      <c r="C27" s="5" t="s">
        <v>74</v>
      </c>
      <c r="D27" s="6"/>
      <c r="E27" s="207">
        <v>2990</v>
      </c>
      <c r="F27" s="207" t="s">
        <v>103</v>
      </c>
      <c r="H27" t="str">
        <f t="shared" si="3"/>
        <v>Passivkonto</v>
      </c>
      <c r="I27" s="120" t="str">
        <f t="shared" si="13"/>
        <v/>
      </c>
      <c r="Q27">
        <f t="shared" si="0"/>
        <v>2990</v>
      </c>
      <c r="R27">
        <f t="shared" si="4"/>
        <v>3</v>
      </c>
      <c r="S27">
        <f t="shared" si="5"/>
        <v>2</v>
      </c>
      <c r="T27">
        <f t="shared" si="6"/>
        <v>0</v>
      </c>
      <c r="U27">
        <f t="shared" si="1"/>
        <v>0</v>
      </c>
      <c r="W27">
        <f t="shared" si="12"/>
        <v>2990</v>
      </c>
      <c r="Y27">
        <f t="shared" si="7"/>
        <v>1.9000000000000001E-4</v>
      </c>
      <c r="Z27">
        <f t="shared" si="8"/>
        <v>1.9000000000000001E-4</v>
      </c>
      <c r="AA27" t="str">
        <f t="shared" si="9"/>
        <v/>
      </c>
      <c r="AB27" t="str">
        <f t="shared" si="2"/>
        <v/>
      </c>
    </row>
    <row r="28" spans="1:28">
      <c r="A28">
        <f t="shared" si="10"/>
        <v>20</v>
      </c>
      <c r="B28">
        <f t="shared" si="11"/>
        <v>39</v>
      </c>
      <c r="C28" s="5"/>
      <c r="D28" s="6" t="s">
        <v>104</v>
      </c>
      <c r="E28" s="207"/>
      <c r="F28" s="207"/>
      <c r="H28">
        <f t="shared" si="3"/>
        <v>0</v>
      </c>
      <c r="I28" s="120" t="str">
        <f t="shared" si="13"/>
        <v/>
      </c>
      <c r="Q28">
        <f t="shared" si="0"/>
        <v>0</v>
      </c>
      <c r="R28">
        <f t="shared" si="4"/>
        <v>3</v>
      </c>
      <c r="S28">
        <f t="shared" si="5"/>
        <v>2</v>
      </c>
      <c r="T28">
        <f t="shared" si="6"/>
        <v>1</v>
      </c>
      <c r="U28">
        <f t="shared" si="1"/>
        <v>0</v>
      </c>
      <c r="W28">
        <f t="shared" si="12"/>
        <v>2990.0001000000002</v>
      </c>
      <c r="Y28">
        <f t="shared" si="7"/>
        <v>1</v>
      </c>
      <c r="Z28">
        <f t="shared" si="8"/>
        <v>2.0000000000000001E-4</v>
      </c>
      <c r="AA28" t="str">
        <f t="shared" si="9"/>
        <v>Aufwände nach Verbrauch</v>
      </c>
      <c r="AB28" t="str">
        <f t="shared" si="2"/>
        <v/>
      </c>
    </row>
    <row r="29" spans="1:28">
      <c r="A29">
        <f t="shared" si="10"/>
        <v>21</v>
      </c>
      <c r="B29">
        <f t="shared" si="11"/>
        <v>41</v>
      </c>
      <c r="C29" s="5" t="s">
        <v>75</v>
      </c>
      <c r="D29" s="6"/>
      <c r="E29" s="207">
        <v>3000</v>
      </c>
      <c r="F29" s="207" t="s">
        <v>105</v>
      </c>
      <c r="H29" t="str">
        <f t="shared" si="3"/>
        <v>Aufwandskonto</v>
      </c>
      <c r="I29" s="120" t="str">
        <f t="shared" si="13"/>
        <v/>
      </c>
      <c r="Q29">
        <f t="shared" si="0"/>
        <v>3000</v>
      </c>
      <c r="R29">
        <f t="shared" si="4"/>
        <v>3</v>
      </c>
      <c r="S29">
        <f t="shared" si="5"/>
        <v>2</v>
      </c>
      <c r="T29">
        <f t="shared" si="6"/>
        <v>1</v>
      </c>
      <c r="U29">
        <f t="shared" si="1"/>
        <v>0</v>
      </c>
      <c r="W29">
        <f t="shared" si="12"/>
        <v>3000</v>
      </c>
      <c r="Y29">
        <f t="shared" si="7"/>
        <v>1.0000100000000001</v>
      </c>
      <c r="Z29">
        <f t="shared" si="8"/>
        <v>2.1000000000000001E-4</v>
      </c>
      <c r="AA29" t="str">
        <f t="shared" si="9"/>
        <v/>
      </c>
      <c r="AB29" t="str">
        <f t="shared" si="2"/>
        <v/>
      </c>
    </row>
    <row r="30" spans="1:28">
      <c r="A30">
        <f t="shared" si="10"/>
        <v>22</v>
      </c>
      <c r="B30">
        <f t="shared" si="11"/>
        <v>43</v>
      </c>
      <c r="C30" s="5" t="s">
        <v>75</v>
      </c>
      <c r="D30" s="6"/>
      <c r="E30" s="207">
        <v>3020</v>
      </c>
      <c r="F30" s="207" t="s">
        <v>106</v>
      </c>
      <c r="H30" t="str">
        <f t="shared" si="3"/>
        <v>Aufwandskonto</v>
      </c>
      <c r="I30" s="120" t="str">
        <f t="shared" si="13"/>
        <v/>
      </c>
      <c r="Q30">
        <f t="shared" si="0"/>
        <v>3020</v>
      </c>
      <c r="R30">
        <f t="shared" si="4"/>
        <v>3</v>
      </c>
      <c r="S30">
        <f t="shared" si="5"/>
        <v>2</v>
      </c>
      <c r="T30">
        <f t="shared" si="6"/>
        <v>1</v>
      </c>
      <c r="U30">
        <f t="shared" si="1"/>
        <v>0</v>
      </c>
      <c r="W30">
        <f t="shared" si="12"/>
        <v>3020</v>
      </c>
      <c r="Y30">
        <f t="shared" si="7"/>
        <v>1.0000200000000001</v>
      </c>
      <c r="Z30">
        <f t="shared" si="8"/>
        <v>2.2000000000000001E-4</v>
      </c>
      <c r="AA30" t="str">
        <f t="shared" si="9"/>
        <v/>
      </c>
      <c r="AB30" t="str">
        <f t="shared" si="2"/>
        <v/>
      </c>
    </row>
    <row r="31" spans="1:28">
      <c r="A31">
        <f t="shared" si="10"/>
        <v>23</v>
      </c>
      <c r="B31">
        <f t="shared" si="11"/>
        <v>45</v>
      </c>
      <c r="C31" s="5" t="s">
        <v>75</v>
      </c>
      <c r="D31" s="6"/>
      <c r="E31" s="207">
        <v>3040</v>
      </c>
      <c r="F31" s="207" t="s">
        <v>107</v>
      </c>
      <c r="H31" t="str">
        <f t="shared" si="3"/>
        <v>Aufwandskonto</v>
      </c>
      <c r="I31" s="120" t="str">
        <f t="shared" si="13"/>
        <v/>
      </c>
      <c r="Q31">
        <f t="shared" si="0"/>
        <v>3040</v>
      </c>
      <c r="R31">
        <f t="shared" si="4"/>
        <v>3</v>
      </c>
      <c r="S31">
        <f t="shared" si="5"/>
        <v>2</v>
      </c>
      <c r="T31">
        <f t="shared" si="6"/>
        <v>1</v>
      </c>
      <c r="U31">
        <f t="shared" si="1"/>
        <v>0</v>
      </c>
      <c r="W31">
        <f t="shared" si="12"/>
        <v>3040</v>
      </c>
      <c r="Y31">
        <f t="shared" si="7"/>
        <v>1.0000300000000002</v>
      </c>
      <c r="Z31">
        <f t="shared" si="8"/>
        <v>2.3000000000000001E-4</v>
      </c>
      <c r="AA31" t="str">
        <f t="shared" si="9"/>
        <v/>
      </c>
      <c r="AB31" t="str">
        <f t="shared" si="2"/>
        <v/>
      </c>
    </row>
    <row r="32" spans="1:28">
      <c r="A32">
        <f t="shared" si="10"/>
        <v>24</v>
      </c>
      <c r="B32">
        <f t="shared" si="11"/>
        <v>47</v>
      </c>
      <c r="C32" s="5"/>
      <c r="D32" s="6" t="s">
        <v>108</v>
      </c>
      <c r="E32" s="207"/>
      <c r="F32" s="207"/>
      <c r="H32">
        <f t="shared" si="3"/>
        <v>0</v>
      </c>
      <c r="I32" s="120" t="str">
        <f t="shared" si="13"/>
        <v/>
      </c>
      <c r="Q32">
        <f t="shared" si="0"/>
        <v>0</v>
      </c>
      <c r="R32">
        <f t="shared" si="4"/>
        <v>3</v>
      </c>
      <c r="S32">
        <f t="shared" si="5"/>
        <v>2</v>
      </c>
      <c r="T32">
        <f t="shared" si="6"/>
        <v>2</v>
      </c>
      <c r="U32">
        <f t="shared" si="1"/>
        <v>0</v>
      </c>
      <c r="W32">
        <f t="shared" si="12"/>
        <v>3040.0001000000002</v>
      </c>
      <c r="Y32">
        <f t="shared" si="7"/>
        <v>2</v>
      </c>
      <c r="Z32">
        <f t="shared" si="8"/>
        <v>2.4000000000000001E-4</v>
      </c>
      <c r="AA32" t="str">
        <f t="shared" si="9"/>
        <v>Energie + Wasser nach Wertquoten</v>
      </c>
      <c r="AB32" t="str">
        <f t="shared" si="2"/>
        <v/>
      </c>
    </row>
    <row r="33" spans="1:28">
      <c r="A33">
        <f t="shared" si="10"/>
        <v>25</v>
      </c>
      <c r="B33">
        <f t="shared" si="11"/>
        <v>49</v>
      </c>
      <c r="C33" s="5" t="s">
        <v>75</v>
      </c>
      <c r="D33" s="6"/>
      <c r="E33" s="207">
        <v>3100</v>
      </c>
      <c r="F33" s="207" t="s">
        <v>109</v>
      </c>
      <c r="H33" t="str">
        <f t="shared" si="3"/>
        <v>Aufwandskonto</v>
      </c>
      <c r="I33" s="120" t="str">
        <f t="shared" si="13"/>
        <v/>
      </c>
      <c r="Q33">
        <f t="shared" si="0"/>
        <v>3100</v>
      </c>
      <c r="R33">
        <f t="shared" si="4"/>
        <v>3</v>
      </c>
      <c r="S33">
        <f t="shared" si="5"/>
        <v>2</v>
      </c>
      <c r="T33">
        <f t="shared" si="6"/>
        <v>2</v>
      </c>
      <c r="U33">
        <f t="shared" si="1"/>
        <v>0</v>
      </c>
      <c r="W33">
        <f t="shared" si="12"/>
        <v>3100</v>
      </c>
      <c r="Y33">
        <f t="shared" si="7"/>
        <v>2.0000100000000001</v>
      </c>
      <c r="Z33">
        <f t="shared" si="8"/>
        <v>2.5000000000000001E-4</v>
      </c>
      <c r="AA33" t="str">
        <f t="shared" si="9"/>
        <v/>
      </c>
      <c r="AB33" t="str">
        <f t="shared" si="2"/>
        <v/>
      </c>
    </row>
    <row r="34" spans="1:28">
      <c r="A34">
        <f t="shared" si="10"/>
        <v>26</v>
      </c>
      <c r="B34">
        <f t="shared" si="11"/>
        <v>51</v>
      </c>
      <c r="C34" s="5" t="s">
        <v>75</v>
      </c>
      <c r="D34" s="6"/>
      <c r="E34" s="207">
        <v>3200</v>
      </c>
      <c r="F34" s="207" t="s">
        <v>110</v>
      </c>
      <c r="H34" t="str">
        <f t="shared" si="3"/>
        <v>Aufwandskonto</v>
      </c>
      <c r="I34" s="120" t="str">
        <f t="shared" si="13"/>
        <v/>
      </c>
      <c r="Q34">
        <f t="shared" si="0"/>
        <v>3200</v>
      </c>
      <c r="R34">
        <f t="shared" si="4"/>
        <v>3</v>
      </c>
      <c r="S34">
        <f t="shared" si="5"/>
        <v>2</v>
      </c>
      <c r="T34">
        <f t="shared" si="6"/>
        <v>2</v>
      </c>
      <c r="U34">
        <f t="shared" si="1"/>
        <v>0</v>
      </c>
      <c r="W34">
        <f t="shared" si="12"/>
        <v>3200</v>
      </c>
      <c r="Y34">
        <f t="shared" si="7"/>
        <v>2.0000200000000001</v>
      </c>
      <c r="Z34">
        <f t="shared" si="8"/>
        <v>2.6000000000000003E-4</v>
      </c>
      <c r="AA34" t="str">
        <f t="shared" si="9"/>
        <v/>
      </c>
      <c r="AB34" t="str">
        <f t="shared" si="2"/>
        <v/>
      </c>
    </row>
    <row r="35" spans="1:28">
      <c r="A35">
        <f t="shared" si="10"/>
        <v>27</v>
      </c>
      <c r="B35">
        <f t="shared" si="11"/>
        <v>53</v>
      </c>
      <c r="C35" s="5" t="s">
        <v>75</v>
      </c>
      <c r="D35" s="6"/>
      <c r="E35" s="207">
        <v>3300</v>
      </c>
      <c r="F35" s="207" t="s">
        <v>111</v>
      </c>
      <c r="H35" t="str">
        <f t="shared" si="3"/>
        <v>Aufwandskonto</v>
      </c>
      <c r="I35" s="120" t="str">
        <f t="shared" si="13"/>
        <v/>
      </c>
      <c r="Q35">
        <f t="shared" si="0"/>
        <v>3300</v>
      </c>
      <c r="R35">
        <f t="shared" si="4"/>
        <v>3</v>
      </c>
      <c r="S35">
        <f t="shared" si="5"/>
        <v>2</v>
      </c>
      <c r="T35">
        <f t="shared" si="6"/>
        <v>2</v>
      </c>
      <c r="U35">
        <f t="shared" si="1"/>
        <v>0</v>
      </c>
      <c r="W35">
        <f t="shared" si="12"/>
        <v>3300</v>
      </c>
      <c r="Y35">
        <f t="shared" si="7"/>
        <v>2.0000300000000002</v>
      </c>
      <c r="Z35">
        <f t="shared" si="8"/>
        <v>2.7000000000000006E-4</v>
      </c>
      <c r="AA35" t="str">
        <f t="shared" si="9"/>
        <v/>
      </c>
      <c r="AB35" t="str">
        <f t="shared" si="2"/>
        <v/>
      </c>
    </row>
    <row r="36" spans="1:28">
      <c r="A36">
        <f t="shared" si="10"/>
        <v>28</v>
      </c>
      <c r="B36">
        <f t="shared" si="11"/>
        <v>55</v>
      </c>
      <c r="C36" s="5"/>
      <c r="D36" s="6" t="s">
        <v>112</v>
      </c>
      <c r="E36" s="207"/>
      <c r="F36" s="207"/>
      <c r="H36">
        <f t="shared" si="3"/>
        <v>0</v>
      </c>
      <c r="I36" s="120" t="str">
        <f t="shared" si="13"/>
        <v/>
      </c>
      <c r="Q36">
        <f t="shared" si="0"/>
        <v>0</v>
      </c>
      <c r="R36">
        <f t="shared" si="4"/>
        <v>3</v>
      </c>
      <c r="S36">
        <f t="shared" si="5"/>
        <v>2</v>
      </c>
      <c r="T36">
        <f t="shared" si="6"/>
        <v>3</v>
      </c>
      <c r="U36">
        <f t="shared" si="1"/>
        <v>0</v>
      </c>
      <c r="W36">
        <f t="shared" si="12"/>
        <v>3300.0001000000002</v>
      </c>
      <c r="Y36">
        <f t="shared" si="7"/>
        <v>3</v>
      </c>
      <c r="Z36">
        <f t="shared" si="8"/>
        <v>2.8000000000000008E-4</v>
      </c>
      <c r="AA36" t="str">
        <f t="shared" si="9"/>
        <v>weitere NK nach Wertquoten</v>
      </c>
      <c r="AB36" t="str">
        <f t="shared" si="2"/>
        <v/>
      </c>
    </row>
    <row r="37" spans="1:28">
      <c r="A37">
        <f t="shared" si="10"/>
        <v>29</v>
      </c>
      <c r="B37">
        <f t="shared" si="11"/>
        <v>57</v>
      </c>
      <c r="C37" s="5" t="s">
        <v>75</v>
      </c>
      <c r="D37" s="6"/>
      <c r="E37" s="207">
        <v>3400</v>
      </c>
      <c r="F37" s="207" t="s">
        <v>113</v>
      </c>
      <c r="H37" t="str">
        <f t="shared" si="3"/>
        <v>Aufwandskonto</v>
      </c>
      <c r="I37" s="120" t="str">
        <f t="shared" si="13"/>
        <v/>
      </c>
      <c r="Q37">
        <f t="shared" si="0"/>
        <v>3400</v>
      </c>
      <c r="R37">
        <f t="shared" si="4"/>
        <v>3</v>
      </c>
      <c r="S37">
        <f t="shared" si="5"/>
        <v>2</v>
      </c>
      <c r="T37">
        <f t="shared" si="6"/>
        <v>3</v>
      </c>
      <c r="U37">
        <f t="shared" si="1"/>
        <v>0</v>
      </c>
      <c r="W37">
        <f t="shared" si="12"/>
        <v>3400</v>
      </c>
      <c r="Y37">
        <f t="shared" si="7"/>
        <v>3.0000100000000001</v>
      </c>
      <c r="Z37">
        <f t="shared" si="8"/>
        <v>2.9000000000000011E-4</v>
      </c>
      <c r="AA37" t="str">
        <f t="shared" si="9"/>
        <v/>
      </c>
      <c r="AB37" t="str">
        <f t="shared" si="2"/>
        <v/>
      </c>
    </row>
    <row r="38" spans="1:28">
      <c r="A38">
        <f t="shared" si="10"/>
        <v>30</v>
      </c>
      <c r="B38">
        <f t="shared" si="11"/>
        <v>59</v>
      </c>
      <c r="C38" s="5" t="s">
        <v>75</v>
      </c>
      <c r="D38" s="6"/>
      <c r="E38" s="207">
        <v>3420</v>
      </c>
      <c r="F38" s="207" t="s">
        <v>114</v>
      </c>
      <c r="H38" t="str">
        <f t="shared" si="3"/>
        <v>Aufwandskonto</v>
      </c>
      <c r="I38" s="120" t="str">
        <f t="shared" si="13"/>
        <v/>
      </c>
      <c r="Q38">
        <f t="shared" si="0"/>
        <v>3420</v>
      </c>
      <c r="R38">
        <f t="shared" si="4"/>
        <v>3</v>
      </c>
      <c r="S38">
        <f t="shared" si="5"/>
        <v>2</v>
      </c>
      <c r="T38">
        <f t="shared" si="6"/>
        <v>3</v>
      </c>
      <c r="U38">
        <f t="shared" si="1"/>
        <v>0</v>
      </c>
      <c r="W38">
        <f t="shared" si="12"/>
        <v>3420</v>
      </c>
      <c r="Y38">
        <f t="shared" si="7"/>
        <v>3.0000200000000001</v>
      </c>
      <c r="Z38">
        <f t="shared" si="8"/>
        <v>3.0000000000000014E-4</v>
      </c>
      <c r="AA38" t="str">
        <f t="shared" si="9"/>
        <v/>
      </c>
      <c r="AB38" t="str">
        <f t="shared" si="2"/>
        <v/>
      </c>
    </row>
    <row r="39" spans="1:28">
      <c r="A39">
        <f t="shared" si="10"/>
        <v>31</v>
      </c>
      <c r="B39">
        <f t="shared" si="11"/>
        <v>61</v>
      </c>
      <c r="C39" s="5" t="s">
        <v>75</v>
      </c>
      <c r="D39" s="6"/>
      <c r="E39" s="207">
        <v>3440</v>
      </c>
      <c r="F39" s="207" t="s">
        <v>115</v>
      </c>
      <c r="H39" t="str">
        <f t="shared" si="3"/>
        <v>Aufwandskonto</v>
      </c>
      <c r="I39" s="120" t="str">
        <f t="shared" si="13"/>
        <v/>
      </c>
      <c r="Q39">
        <f t="shared" si="0"/>
        <v>3440</v>
      </c>
      <c r="R39">
        <f t="shared" si="4"/>
        <v>3</v>
      </c>
      <c r="S39">
        <f t="shared" si="5"/>
        <v>2</v>
      </c>
      <c r="T39">
        <f t="shared" si="6"/>
        <v>3</v>
      </c>
      <c r="U39">
        <f t="shared" si="1"/>
        <v>0</v>
      </c>
      <c r="W39">
        <f t="shared" si="12"/>
        <v>3440</v>
      </c>
      <c r="Y39">
        <f t="shared" si="7"/>
        <v>3.0000300000000002</v>
      </c>
      <c r="Z39">
        <f t="shared" si="8"/>
        <v>3.1000000000000016E-4</v>
      </c>
      <c r="AA39" t="str">
        <f t="shared" si="9"/>
        <v/>
      </c>
      <c r="AB39" t="str">
        <f t="shared" si="2"/>
        <v/>
      </c>
    </row>
    <row r="40" spans="1:28">
      <c r="A40">
        <f t="shared" si="10"/>
        <v>32</v>
      </c>
      <c r="B40">
        <f t="shared" si="11"/>
        <v>63</v>
      </c>
      <c r="C40" s="5" t="s">
        <v>75</v>
      </c>
      <c r="D40" s="6"/>
      <c r="E40" s="207">
        <v>3480</v>
      </c>
      <c r="F40" s="207" t="s">
        <v>116</v>
      </c>
      <c r="H40" t="str">
        <f t="shared" si="3"/>
        <v>Aufwandskonto</v>
      </c>
      <c r="I40" s="120" t="str">
        <f t="shared" si="13"/>
        <v/>
      </c>
      <c r="Q40">
        <f t="shared" si="0"/>
        <v>3480</v>
      </c>
      <c r="R40">
        <f t="shared" si="4"/>
        <v>3</v>
      </c>
      <c r="S40">
        <f t="shared" si="5"/>
        <v>2</v>
      </c>
      <c r="T40">
        <f t="shared" si="6"/>
        <v>3</v>
      </c>
      <c r="U40">
        <f t="shared" si="1"/>
        <v>0</v>
      </c>
      <c r="W40">
        <f t="shared" si="12"/>
        <v>3480</v>
      </c>
      <c r="Y40">
        <f t="shared" si="7"/>
        <v>3.0000400000000003</v>
      </c>
      <c r="Z40">
        <f t="shared" si="8"/>
        <v>3.2000000000000019E-4</v>
      </c>
      <c r="AA40" t="str">
        <f t="shared" si="9"/>
        <v/>
      </c>
      <c r="AB40" t="str">
        <f t="shared" si="2"/>
        <v/>
      </c>
    </row>
    <row r="41" spans="1:28">
      <c r="A41">
        <f t="shared" si="10"/>
        <v>33</v>
      </c>
      <c r="B41">
        <f t="shared" si="11"/>
        <v>65</v>
      </c>
      <c r="C41" s="5" t="s">
        <v>75</v>
      </c>
      <c r="D41" s="6"/>
      <c r="E41" s="207">
        <v>3500</v>
      </c>
      <c r="F41" s="207" t="s">
        <v>117</v>
      </c>
      <c r="H41" t="str">
        <f t="shared" si="3"/>
        <v>Aufwandskonto</v>
      </c>
      <c r="I41" s="120" t="str">
        <f t="shared" si="13"/>
        <v/>
      </c>
      <c r="Q41">
        <f t="shared" si="0"/>
        <v>3500</v>
      </c>
      <c r="R41">
        <f t="shared" si="4"/>
        <v>3</v>
      </c>
      <c r="S41">
        <f t="shared" si="5"/>
        <v>2</v>
      </c>
      <c r="T41">
        <f t="shared" si="6"/>
        <v>3</v>
      </c>
      <c r="U41">
        <f t="shared" si="1"/>
        <v>0</v>
      </c>
      <c r="W41">
        <f t="shared" si="12"/>
        <v>3500</v>
      </c>
      <c r="Y41">
        <f t="shared" si="7"/>
        <v>3.0000500000000003</v>
      </c>
      <c r="Z41">
        <f t="shared" si="8"/>
        <v>3.3000000000000022E-4</v>
      </c>
      <c r="AA41" t="str">
        <f t="shared" si="9"/>
        <v/>
      </c>
      <c r="AB41" t="str">
        <f t="shared" si="2"/>
        <v/>
      </c>
    </row>
    <row r="42" spans="1:28">
      <c r="A42">
        <f t="shared" si="10"/>
        <v>34</v>
      </c>
      <c r="B42">
        <f t="shared" si="11"/>
        <v>67</v>
      </c>
      <c r="C42" s="5" t="s">
        <v>75</v>
      </c>
      <c r="D42" s="6"/>
      <c r="E42" s="207">
        <v>3550</v>
      </c>
      <c r="F42" s="207" t="s">
        <v>118</v>
      </c>
      <c r="H42" t="str">
        <f t="shared" si="3"/>
        <v>Aufwandskonto</v>
      </c>
      <c r="I42" s="120" t="str">
        <f t="shared" si="13"/>
        <v/>
      </c>
      <c r="Q42">
        <f t="shared" si="0"/>
        <v>3550</v>
      </c>
      <c r="R42">
        <f t="shared" si="4"/>
        <v>3</v>
      </c>
      <c r="S42">
        <f t="shared" si="5"/>
        <v>2</v>
      </c>
      <c r="T42">
        <f t="shared" si="6"/>
        <v>3</v>
      </c>
      <c r="U42">
        <f t="shared" si="1"/>
        <v>0</v>
      </c>
      <c r="W42">
        <f t="shared" si="12"/>
        <v>3550</v>
      </c>
      <c r="Y42">
        <f t="shared" si="7"/>
        <v>3.0000600000000004</v>
      </c>
      <c r="Z42">
        <f t="shared" si="8"/>
        <v>3.4000000000000024E-4</v>
      </c>
      <c r="AA42" t="str">
        <f t="shared" si="9"/>
        <v/>
      </c>
      <c r="AB42" t="str">
        <f t="shared" si="2"/>
        <v/>
      </c>
    </row>
    <row r="43" spans="1:28">
      <c r="A43">
        <f t="shared" si="10"/>
        <v>35</v>
      </c>
      <c r="B43">
        <f t="shared" si="11"/>
        <v>69</v>
      </c>
      <c r="C43" s="5" t="s">
        <v>75</v>
      </c>
      <c r="D43" s="6"/>
      <c r="E43" s="207">
        <v>3600</v>
      </c>
      <c r="F43" s="207" t="s">
        <v>119</v>
      </c>
      <c r="H43" t="str">
        <f t="shared" si="3"/>
        <v>Aufwandskonto</v>
      </c>
      <c r="I43" s="120" t="str">
        <f t="shared" si="13"/>
        <v/>
      </c>
      <c r="Q43">
        <f t="shared" si="0"/>
        <v>3600</v>
      </c>
      <c r="R43">
        <f t="shared" si="4"/>
        <v>3</v>
      </c>
      <c r="S43">
        <f t="shared" si="5"/>
        <v>2</v>
      </c>
      <c r="T43">
        <f t="shared" si="6"/>
        <v>3</v>
      </c>
      <c r="U43">
        <f t="shared" si="1"/>
        <v>0</v>
      </c>
      <c r="W43">
        <f t="shared" si="12"/>
        <v>3600</v>
      </c>
      <c r="Y43">
        <f t="shared" si="7"/>
        <v>3.0000700000000005</v>
      </c>
      <c r="Z43">
        <f t="shared" si="8"/>
        <v>3.5000000000000027E-4</v>
      </c>
      <c r="AA43" t="str">
        <f t="shared" si="9"/>
        <v/>
      </c>
      <c r="AB43" t="str">
        <f t="shared" si="2"/>
        <v/>
      </c>
    </row>
    <row r="44" spans="1:28">
      <c r="A44">
        <f t="shared" si="10"/>
        <v>36</v>
      </c>
      <c r="B44">
        <f t="shared" si="11"/>
        <v>71</v>
      </c>
      <c r="C44" s="5" t="s">
        <v>75</v>
      </c>
      <c r="D44" s="6"/>
      <c r="E44" s="207">
        <v>3620</v>
      </c>
      <c r="F44" s="207" t="s">
        <v>120</v>
      </c>
      <c r="H44" t="str">
        <f t="shared" si="3"/>
        <v>Aufwandskonto</v>
      </c>
      <c r="I44" s="120" t="str">
        <f t="shared" si="13"/>
        <v/>
      </c>
      <c r="Q44">
        <f t="shared" si="0"/>
        <v>3620</v>
      </c>
      <c r="R44">
        <f t="shared" si="4"/>
        <v>3</v>
      </c>
      <c r="S44">
        <f t="shared" si="5"/>
        <v>2</v>
      </c>
      <c r="T44">
        <f t="shared" si="6"/>
        <v>3</v>
      </c>
      <c r="U44">
        <f t="shared" si="1"/>
        <v>0</v>
      </c>
      <c r="W44">
        <f t="shared" si="12"/>
        <v>3620</v>
      </c>
      <c r="Y44">
        <f t="shared" si="7"/>
        <v>3.0000800000000005</v>
      </c>
      <c r="Z44">
        <f t="shared" si="8"/>
        <v>3.6000000000000029E-4</v>
      </c>
      <c r="AA44" t="str">
        <f t="shared" si="9"/>
        <v/>
      </c>
      <c r="AB44" t="str">
        <f t="shared" si="2"/>
        <v/>
      </c>
    </row>
    <row r="45" spans="1:28">
      <c r="A45">
        <f t="shared" si="10"/>
        <v>37</v>
      </c>
      <c r="B45">
        <f t="shared" si="11"/>
        <v>73</v>
      </c>
      <c r="C45" s="5" t="s">
        <v>75</v>
      </c>
      <c r="D45" s="6"/>
      <c r="E45" s="207">
        <v>3640</v>
      </c>
      <c r="F45" s="207" t="s">
        <v>121</v>
      </c>
      <c r="H45" t="str">
        <f t="shared" si="3"/>
        <v>Aufwandskonto</v>
      </c>
      <c r="I45" s="120" t="str">
        <f t="shared" si="13"/>
        <v/>
      </c>
      <c r="Q45">
        <f t="shared" si="0"/>
        <v>3640</v>
      </c>
      <c r="R45">
        <f t="shared" si="4"/>
        <v>3</v>
      </c>
      <c r="S45">
        <f t="shared" si="5"/>
        <v>2</v>
      </c>
      <c r="T45">
        <f t="shared" si="6"/>
        <v>3</v>
      </c>
      <c r="U45">
        <f t="shared" si="1"/>
        <v>0</v>
      </c>
      <c r="W45">
        <f t="shared" si="12"/>
        <v>3640</v>
      </c>
      <c r="Y45">
        <f t="shared" si="7"/>
        <v>3.0000900000000006</v>
      </c>
      <c r="Z45">
        <f t="shared" si="8"/>
        <v>3.7000000000000032E-4</v>
      </c>
      <c r="AA45" t="str">
        <f t="shared" si="9"/>
        <v/>
      </c>
      <c r="AB45" t="str">
        <f t="shared" si="2"/>
        <v/>
      </c>
    </row>
    <row r="46" spans="1:28">
      <c r="A46">
        <f t="shared" si="10"/>
        <v>38</v>
      </c>
      <c r="B46">
        <f t="shared" si="11"/>
        <v>75</v>
      </c>
      <c r="C46" s="5" t="s">
        <v>75</v>
      </c>
      <c r="D46" s="6"/>
      <c r="E46" s="207">
        <v>3660</v>
      </c>
      <c r="F46" s="207" t="s">
        <v>122</v>
      </c>
      <c r="H46" t="str">
        <f t="shared" si="3"/>
        <v>Aufwandskonto</v>
      </c>
      <c r="I46" s="120" t="str">
        <f t="shared" si="13"/>
        <v/>
      </c>
      <c r="Q46">
        <f t="shared" si="0"/>
        <v>3660</v>
      </c>
      <c r="R46">
        <f t="shared" si="4"/>
        <v>3</v>
      </c>
      <c r="S46">
        <f t="shared" si="5"/>
        <v>2</v>
      </c>
      <c r="T46">
        <f t="shared" si="6"/>
        <v>3</v>
      </c>
      <c r="U46">
        <f t="shared" si="1"/>
        <v>0</v>
      </c>
      <c r="W46">
        <f t="shared" si="12"/>
        <v>3660</v>
      </c>
      <c r="Y46">
        <f t="shared" si="7"/>
        <v>3.0001000000000007</v>
      </c>
      <c r="Z46">
        <f t="shared" si="8"/>
        <v>3.8000000000000035E-4</v>
      </c>
      <c r="AA46" t="str">
        <f t="shared" si="9"/>
        <v/>
      </c>
      <c r="AB46" t="str">
        <f t="shared" si="2"/>
        <v/>
      </c>
    </row>
    <row r="47" spans="1:28">
      <c r="A47">
        <f t="shared" si="10"/>
        <v>39</v>
      </c>
      <c r="B47">
        <f t="shared" si="11"/>
        <v>77</v>
      </c>
      <c r="C47" s="5" t="s">
        <v>75</v>
      </c>
      <c r="D47" s="6"/>
      <c r="E47" s="207">
        <v>3680</v>
      </c>
      <c r="F47" s="207" t="s">
        <v>123</v>
      </c>
      <c r="H47" t="str">
        <f t="shared" si="3"/>
        <v>Aufwandskonto</v>
      </c>
      <c r="I47" s="120" t="str">
        <f t="shared" si="13"/>
        <v/>
      </c>
      <c r="Q47">
        <f t="shared" si="0"/>
        <v>3680</v>
      </c>
      <c r="R47">
        <f t="shared" si="4"/>
        <v>3</v>
      </c>
      <c r="S47">
        <f t="shared" si="5"/>
        <v>2</v>
      </c>
      <c r="T47">
        <f t="shared" si="6"/>
        <v>3</v>
      </c>
      <c r="U47">
        <f t="shared" si="1"/>
        <v>0</v>
      </c>
      <c r="W47">
        <f t="shared" si="12"/>
        <v>3680</v>
      </c>
      <c r="Y47">
        <f t="shared" si="7"/>
        <v>3.0001100000000007</v>
      </c>
      <c r="Z47">
        <f t="shared" si="8"/>
        <v>3.9000000000000037E-4</v>
      </c>
      <c r="AA47" t="str">
        <f t="shared" si="9"/>
        <v/>
      </c>
      <c r="AB47" t="str">
        <f t="shared" si="2"/>
        <v/>
      </c>
    </row>
    <row r="48" spans="1:28">
      <c r="A48">
        <f t="shared" si="10"/>
        <v>40</v>
      </c>
      <c r="B48">
        <f t="shared" si="11"/>
        <v>79</v>
      </c>
      <c r="C48" s="5" t="s">
        <v>75</v>
      </c>
      <c r="D48" s="6"/>
      <c r="E48" s="207">
        <v>3700</v>
      </c>
      <c r="F48" s="207" t="s">
        <v>124</v>
      </c>
      <c r="H48" t="str">
        <f t="shared" si="3"/>
        <v>Aufwandskonto</v>
      </c>
      <c r="I48" s="120" t="str">
        <f t="shared" si="13"/>
        <v/>
      </c>
      <c r="Q48">
        <f t="shared" si="0"/>
        <v>3700</v>
      </c>
      <c r="R48">
        <f t="shared" si="4"/>
        <v>3</v>
      </c>
      <c r="S48">
        <f t="shared" si="5"/>
        <v>2</v>
      </c>
      <c r="T48">
        <f t="shared" si="6"/>
        <v>3</v>
      </c>
      <c r="U48">
        <f t="shared" si="1"/>
        <v>0</v>
      </c>
      <c r="W48">
        <f t="shared" si="12"/>
        <v>3700</v>
      </c>
      <c r="Y48">
        <f t="shared" si="7"/>
        <v>3.0001200000000008</v>
      </c>
      <c r="Z48">
        <f t="shared" si="8"/>
        <v>4.000000000000004E-4</v>
      </c>
      <c r="AA48" t="str">
        <f t="shared" si="9"/>
        <v/>
      </c>
      <c r="AB48" t="str">
        <f t="shared" si="2"/>
        <v/>
      </c>
    </row>
    <row r="49" spans="1:28">
      <c r="A49">
        <f t="shared" si="10"/>
        <v>41</v>
      </c>
      <c r="B49">
        <f t="shared" si="11"/>
        <v>81</v>
      </c>
      <c r="C49" s="5" t="s">
        <v>75</v>
      </c>
      <c r="D49" s="6"/>
      <c r="E49" s="207">
        <v>3720</v>
      </c>
      <c r="F49" s="207" t="s">
        <v>125</v>
      </c>
      <c r="H49" t="str">
        <f t="shared" si="3"/>
        <v>Aufwandskonto</v>
      </c>
      <c r="I49" s="120" t="str">
        <f t="shared" si="13"/>
        <v/>
      </c>
      <c r="Q49">
        <f t="shared" si="0"/>
        <v>3720</v>
      </c>
      <c r="R49">
        <f t="shared" si="4"/>
        <v>3</v>
      </c>
      <c r="S49">
        <f t="shared" si="5"/>
        <v>2</v>
      </c>
      <c r="T49">
        <f t="shared" si="6"/>
        <v>3</v>
      </c>
      <c r="U49">
        <f t="shared" si="1"/>
        <v>0</v>
      </c>
      <c r="W49">
        <f t="shared" si="12"/>
        <v>3720</v>
      </c>
      <c r="Y49">
        <f t="shared" si="7"/>
        <v>3.0001300000000009</v>
      </c>
      <c r="Z49">
        <f t="shared" si="8"/>
        <v>4.1000000000000042E-4</v>
      </c>
      <c r="AA49" t="str">
        <f t="shared" si="9"/>
        <v/>
      </c>
      <c r="AB49" t="str">
        <f t="shared" si="2"/>
        <v/>
      </c>
    </row>
    <row r="50" spans="1:28">
      <c r="A50">
        <f t="shared" si="10"/>
        <v>42</v>
      </c>
      <c r="B50">
        <f t="shared" si="11"/>
        <v>83</v>
      </c>
      <c r="C50" s="5" t="s">
        <v>75</v>
      </c>
      <c r="D50" s="6"/>
      <c r="E50" s="207">
        <v>3740</v>
      </c>
      <c r="F50" s="207" t="s">
        <v>126</v>
      </c>
      <c r="H50" t="str">
        <f t="shared" si="3"/>
        <v>Aufwandskonto</v>
      </c>
      <c r="I50" s="120" t="str">
        <f t="shared" si="13"/>
        <v/>
      </c>
      <c r="Q50">
        <f t="shared" si="0"/>
        <v>3740</v>
      </c>
      <c r="R50">
        <f t="shared" si="4"/>
        <v>3</v>
      </c>
      <c r="S50">
        <f t="shared" si="5"/>
        <v>2</v>
      </c>
      <c r="T50">
        <f t="shared" si="6"/>
        <v>3</v>
      </c>
      <c r="U50">
        <f t="shared" si="1"/>
        <v>0</v>
      </c>
      <c r="W50">
        <f t="shared" si="12"/>
        <v>3740</v>
      </c>
      <c r="Y50">
        <f t="shared" si="7"/>
        <v>3.0001400000000009</v>
      </c>
      <c r="Z50">
        <f t="shared" si="8"/>
        <v>4.2000000000000045E-4</v>
      </c>
      <c r="AA50" t="str">
        <f t="shared" si="9"/>
        <v/>
      </c>
      <c r="AB50" t="str">
        <f t="shared" si="2"/>
        <v/>
      </c>
    </row>
    <row r="51" spans="1:28">
      <c r="A51">
        <f t="shared" si="10"/>
        <v>43</v>
      </c>
      <c r="B51">
        <f t="shared" si="11"/>
        <v>85</v>
      </c>
      <c r="C51" s="5" t="s">
        <v>75</v>
      </c>
      <c r="D51" s="6"/>
      <c r="E51" s="207">
        <v>3760</v>
      </c>
      <c r="F51" s="207" t="s">
        <v>127</v>
      </c>
      <c r="H51" t="str">
        <f t="shared" si="3"/>
        <v>Aufwandskonto</v>
      </c>
      <c r="I51" s="120" t="str">
        <f t="shared" si="13"/>
        <v/>
      </c>
      <c r="Q51">
        <f t="shared" si="0"/>
        <v>3760</v>
      </c>
      <c r="R51">
        <f t="shared" si="4"/>
        <v>3</v>
      </c>
      <c r="S51">
        <f t="shared" si="5"/>
        <v>2</v>
      </c>
      <c r="T51">
        <f t="shared" si="6"/>
        <v>3</v>
      </c>
      <c r="U51">
        <f t="shared" si="1"/>
        <v>0</v>
      </c>
      <c r="W51">
        <f t="shared" si="12"/>
        <v>3760</v>
      </c>
      <c r="Y51">
        <f t="shared" si="7"/>
        <v>3.000150000000001</v>
      </c>
      <c r="Z51">
        <f t="shared" si="8"/>
        <v>4.3000000000000048E-4</v>
      </c>
      <c r="AA51" t="str">
        <f t="shared" si="9"/>
        <v/>
      </c>
      <c r="AB51" t="str">
        <f t="shared" si="2"/>
        <v/>
      </c>
    </row>
    <row r="52" spans="1:28">
      <c r="A52">
        <f t="shared" si="10"/>
        <v>44</v>
      </c>
      <c r="B52">
        <f t="shared" si="11"/>
        <v>87</v>
      </c>
      <c r="C52" s="5" t="s">
        <v>75</v>
      </c>
      <c r="D52" s="6"/>
      <c r="E52" s="207">
        <v>3780</v>
      </c>
      <c r="F52" s="207" t="s">
        <v>128</v>
      </c>
      <c r="H52" t="str">
        <f t="shared" si="3"/>
        <v>Aufwandskonto</v>
      </c>
      <c r="I52" s="120" t="str">
        <f t="shared" si="13"/>
        <v/>
      </c>
      <c r="Q52">
        <f t="shared" si="0"/>
        <v>3780</v>
      </c>
      <c r="R52">
        <f t="shared" si="4"/>
        <v>3</v>
      </c>
      <c r="S52">
        <f t="shared" si="5"/>
        <v>2</v>
      </c>
      <c r="T52">
        <f t="shared" si="6"/>
        <v>3</v>
      </c>
      <c r="U52">
        <f t="shared" si="1"/>
        <v>0</v>
      </c>
      <c r="W52">
        <f t="shared" si="12"/>
        <v>3780</v>
      </c>
      <c r="Y52">
        <f t="shared" si="7"/>
        <v>3.000160000000001</v>
      </c>
      <c r="Z52">
        <f t="shared" si="8"/>
        <v>4.400000000000005E-4</v>
      </c>
      <c r="AA52" t="str">
        <f t="shared" si="9"/>
        <v/>
      </c>
      <c r="AB52" t="str">
        <f t="shared" si="2"/>
        <v/>
      </c>
    </row>
    <row r="53" spans="1:28">
      <c r="A53">
        <f t="shared" si="10"/>
        <v>45</v>
      </c>
      <c r="B53">
        <f t="shared" si="11"/>
        <v>89</v>
      </c>
      <c r="C53" s="5" t="s">
        <v>75</v>
      </c>
      <c r="D53" s="6"/>
      <c r="E53" s="207">
        <v>3850</v>
      </c>
      <c r="F53" s="207" t="s">
        <v>129</v>
      </c>
      <c r="H53" t="str">
        <f t="shared" si="3"/>
        <v>Aufwandskonto</v>
      </c>
      <c r="I53" s="120" t="str">
        <f t="shared" si="13"/>
        <v/>
      </c>
      <c r="Q53">
        <f t="shared" si="0"/>
        <v>3850</v>
      </c>
      <c r="R53">
        <f t="shared" si="4"/>
        <v>3</v>
      </c>
      <c r="S53">
        <f t="shared" si="5"/>
        <v>2</v>
      </c>
      <c r="T53">
        <f t="shared" si="6"/>
        <v>3</v>
      </c>
      <c r="U53">
        <f t="shared" si="1"/>
        <v>0</v>
      </c>
      <c r="W53">
        <f t="shared" si="12"/>
        <v>3850</v>
      </c>
      <c r="Y53">
        <f t="shared" si="7"/>
        <v>3.0001700000000011</v>
      </c>
      <c r="Z53">
        <f t="shared" si="8"/>
        <v>4.5000000000000053E-4</v>
      </c>
      <c r="AA53" t="str">
        <f t="shared" si="9"/>
        <v/>
      </c>
      <c r="AB53" t="str">
        <f t="shared" si="2"/>
        <v/>
      </c>
    </row>
    <row r="54" spans="1:28">
      <c r="A54">
        <f t="shared" si="10"/>
        <v>46</v>
      </c>
      <c r="B54">
        <f t="shared" si="11"/>
        <v>91</v>
      </c>
      <c r="C54" s="5" t="s">
        <v>75</v>
      </c>
      <c r="D54" s="6"/>
      <c r="E54" s="207">
        <v>3900</v>
      </c>
      <c r="F54" s="207" t="s">
        <v>130</v>
      </c>
      <c r="H54" t="str">
        <f t="shared" si="3"/>
        <v>Aufwandskonto</v>
      </c>
      <c r="I54" s="120" t="str">
        <f t="shared" si="13"/>
        <v/>
      </c>
      <c r="Q54">
        <f t="shared" si="0"/>
        <v>3900</v>
      </c>
      <c r="R54">
        <f t="shared" si="4"/>
        <v>3</v>
      </c>
      <c r="S54">
        <f t="shared" si="5"/>
        <v>2</v>
      </c>
      <c r="T54">
        <f t="shared" si="6"/>
        <v>3</v>
      </c>
      <c r="U54">
        <f t="shared" si="1"/>
        <v>0</v>
      </c>
      <c r="W54">
        <f t="shared" si="12"/>
        <v>3900</v>
      </c>
      <c r="Y54">
        <f t="shared" si="7"/>
        <v>3.0001800000000012</v>
      </c>
      <c r="Z54">
        <f t="shared" si="8"/>
        <v>4.6000000000000056E-4</v>
      </c>
      <c r="AA54" t="str">
        <f t="shared" si="9"/>
        <v/>
      </c>
      <c r="AB54" t="str">
        <f t="shared" si="2"/>
        <v/>
      </c>
    </row>
    <row r="55" spans="1:28">
      <c r="A55">
        <f t="shared" si="10"/>
        <v>47</v>
      </c>
      <c r="B55">
        <f t="shared" si="11"/>
        <v>93</v>
      </c>
      <c r="C55" s="5"/>
      <c r="D55" s="6" t="s">
        <v>131</v>
      </c>
      <c r="E55" s="207"/>
      <c r="F55" s="207"/>
      <c r="H55">
        <f t="shared" si="3"/>
        <v>0</v>
      </c>
      <c r="I55" s="120" t="str">
        <f t="shared" si="13"/>
        <v/>
      </c>
      <c r="Q55">
        <f t="shared" si="0"/>
        <v>0</v>
      </c>
      <c r="R55">
        <f t="shared" si="4"/>
        <v>3</v>
      </c>
      <c r="S55">
        <f t="shared" si="5"/>
        <v>2</v>
      </c>
      <c r="T55">
        <f t="shared" si="6"/>
        <v>4</v>
      </c>
      <c r="U55">
        <f t="shared" si="1"/>
        <v>0</v>
      </c>
      <c r="W55">
        <f t="shared" si="12"/>
        <v>3900.0001000000002</v>
      </c>
      <c r="Y55">
        <f t="shared" si="7"/>
        <v>4</v>
      </c>
      <c r="Z55">
        <f t="shared" si="8"/>
        <v>4.7000000000000058E-4</v>
      </c>
      <c r="AA55" t="str">
        <f t="shared" si="9"/>
        <v>NK: Aufteilung nach Whg</v>
      </c>
      <c r="AB55" t="str">
        <f t="shared" si="2"/>
        <v/>
      </c>
    </row>
    <row r="56" spans="1:28">
      <c r="A56">
        <f t="shared" si="10"/>
        <v>48</v>
      </c>
      <c r="B56">
        <f t="shared" si="11"/>
        <v>95</v>
      </c>
      <c r="C56" s="5" t="s">
        <v>75</v>
      </c>
      <c r="D56" s="6"/>
      <c r="E56" s="207">
        <v>4000</v>
      </c>
      <c r="F56" s="207" t="s">
        <v>132</v>
      </c>
      <c r="H56" t="str">
        <f t="shared" si="3"/>
        <v>Aufwandskonto</v>
      </c>
      <c r="I56" s="120" t="str">
        <f t="shared" si="13"/>
        <v/>
      </c>
      <c r="Q56">
        <f t="shared" si="0"/>
        <v>4000</v>
      </c>
      <c r="R56">
        <f t="shared" si="4"/>
        <v>3</v>
      </c>
      <c r="S56">
        <f t="shared" si="5"/>
        <v>2</v>
      </c>
      <c r="T56">
        <f t="shared" si="6"/>
        <v>4</v>
      </c>
      <c r="U56">
        <f t="shared" si="1"/>
        <v>0</v>
      </c>
      <c r="W56">
        <f t="shared" si="12"/>
        <v>4000</v>
      </c>
      <c r="Y56">
        <f t="shared" si="7"/>
        <v>4.0000099999999996</v>
      </c>
      <c r="Z56">
        <f t="shared" si="8"/>
        <v>4.8000000000000061E-4</v>
      </c>
      <c r="AA56" t="str">
        <f t="shared" si="9"/>
        <v/>
      </c>
      <c r="AB56" t="str">
        <f t="shared" si="2"/>
        <v/>
      </c>
    </row>
    <row r="57" spans="1:28">
      <c r="A57">
        <f t="shared" si="10"/>
        <v>49</v>
      </c>
      <c r="B57">
        <f t="shared" si="11"/>
        <v>97</v>
      </c>
      <c r="C57" s="5" t="s">
        <v>75</v>
      </c>
      <c r="D57" s="6"/>
      <c r="E57" s="207">
        <v>4100</v>
      </c>
      <c r="F57" s="207" t="s">
        <v>133</v>
      </c>
      <c r="H57" t="str">
        <f t="shared" si="3"/>
        <v>Aufwandskonto</v>
      </c>
      <c r="I57" s="120" t="str">
        <f t="shared" si="13"/>
        <v/>
      </c>
      <c r="Q57">
        <f t="shared" si="0"/>
        <v>4100</v>
      </c>
      <c r="R57">
        <f t="shared" si="4"/>
        <v>3</v>
      </c>
      <c r="S57">
        <f t="shared" si="5"/>
        <v>2</v>
      </c>
      <c r="T57">
        <f t="shared" si="6"/>
        <v>4</v>
      </c>
      <c r="U57">
        <f t="shared" si="1"/>
        <v>0</v>
      </c>
      <c r="W57">
        <f t="shared" si="12"/>
        <v>4100</v>
      </c>
      <c r="Y57">
        <f t="shared" si="7"/>
        <v>4.0000199999999992</v>
      </c>
      <c r="Z57">
        <f t="shared" si="8"/>
        <v>4.9000000000000063E-4</v>
      </c>
      <c r="AA57" t="str">
        <f t="shared" si="9"/>
        <v/>
      </c>
      <c r="AB57" t="str">
        <f t="shared" si="2"/>
        <v/>
      </c>
    </row>
    <row r="58" spans="1:28">
      <c r="A58">
        <f t="shared" si="10"/>
        <v>50</v>
      </c>
      <c r="B58">
        <f t="shared" si="11"/>
        <v>99</v>
      </c>
      <c r="C58" s="5" t="s">
        <v>75</v>
      </c>
      <c r="D58" s="6"/>
      <c r="E58" s="207">
        <v>4200</v>
      </c>
      <c r="F58" s="207" t="s">
        <v>134</v>
      </c>
      <c r="H58" t="str">
        <f t="shared" si="3"/>
        <v>Aufwandskonto</v>
      </c>
      <c r="I58" s="120" t="str">
        <f t="shared" si="13"/>
        <v/>
      </c>
      <c r="Q58">
        <f t="shared" si="0"/>
        <v>4200</v>
      </c>
      <c r="R58">
        <f t="shared" si="4"/>
        <v>3</v>
      </c>
      <c r="S58">
        <f t="shared" si="5"/>
        <v>2</v>
      </c>
      <c r="T58">
        <f t="shared" si="6"/>
        <v>4</v>
      </c>
      <c r="U58">
        <f t="shared" si="1"/>
        <v>0</v>
      </c>
      <c r="W58">
        <f t="shared" si="12"/>
        <v>4200</v>
      </c>
      <c r="Y58">
        <f t="shared" si="7"/>
        <v>4.0000299999999989</v>
      </c>
      <c r="Z58">
        <f t="shared" si="8"/>
        <v>5.0000000000000066E-4</v>
      </c>
      <c r="AA58" t="str">
        <f t="shared" si="9"/>
        <v/>
      </c>
      <c r="AB58" t="str">
        <f t="shared" si="2"/>
        <v/>
      </c>
    </row>
    <row r="59" spans="1:28">
      <c r="A59">
        <f t="shared" si="10"/>
        <v>51</v>
      </c>
      <c r="B59">
        <f t="shared" si="11"/>
        <v>101</v>
      </c>
      <c r="C59" s="5"/>
      <c r="D59" s="6" t="s">
        <v>135</v>
      </c>
      <c r="E59" s="207"/>
      <c r="F59" s="207"/>
      <c r="H59">
        <f t="shared" si="3"/>
        <v>0</v>
      </c>
      <c r="I59" s="120" t="str">
        <f t="shared" si="13"/>
        <v/>
      </c>
      <c r="Q59">
        <f t="shared" si="0"/>
        <v>0</v>
      </c>
      <c r="R59">
        <f t="shared" si="4"/>
        <v>3</v>
      </c>
      <c r="S59">
        <f t="shared" si="5"/>
        <v>2</v>
      </c>
      <c r="T59">
        <f t="shared" si="6"/>
        <v>4</v>
      </c>
      <c r="U59">
        <f t="shared" si="1"/>
        <v>1</v>
      </c>
      <c r="W59">
        <f t="shared" si="12"/>
        <v>4200.0001000000002</v>
      </c>
      <c r="Y59">
        <f t="shared" si="7"/>
        <v>4.0000399999999985</v>
      </c>
      <c r="Z59">
        <f t="shared" si="8"/>
        <v>1</v>
      </c>
      <c r="AA59" t="str">
        <f t="shared" si="9"/>
        <v/>
      </c>
      <c r="AB59" t="str">
        <f t="shared" si="2"/>
        <v>Ertrag</v>
      </c>
    </row>
    <row r="60" spans="1:28">
      <c r="A60">
        <f t="shared" si="10"/>
        <v>52</v>
      </c>
      <c r="B60">
        <f t="shared" si="11"/>
        <v>103</v>
      </c>
      <c r="C60" s="5"/>
      <c r="D60" s="6" t="s">
        <v>136</v>
      </c>
      <c r="E60" s="207"/>
      <c r="F60" s="207"/>
      <c r="H60">
        <f t="shared" si="3"/>
        <v>0</v>
      </c>
      <c r="I60" s="120" t="str">
        <f t="shared" si="13"/>
        <v/>
      </c>
      <c r="Q60">
        <f t="shared" si="0"/>
        <v>0</v>
      </c>
      <c r="R60">
        <f t="shared" si="4"/>
        <v>3</v>
      </c>
      <c r="S60">
        <f t="shared" si="5"/>
        <v>2</v>
      </c>
      <c r="T60">
        <f t="shared" si="6"/>
        <v>4</v>
      </c>
      <c r="U60">
        <f t="shared" si="1"/>
        <v>2</v>
      </c>
      <c r="W60">
        <f t="shared" si="12"/>
        <v>4200.0002000000004</v>
      </c>
      <c r="Y60">
        <f t="shared" si="7"/>
        <v>4.0000499999999981</v>
      </c>
      <c r="Z60">
        <f t="shared" si="8"/>
        <v>2</v>
      </c>
      <c r="AA60" t="str">
        <f t="shared" si="9"/>
        <v/>
      </c>
      <c r="AB60" t="str">
        <f t="shared" si="2"/>
        <v>Akkontozahlungen</v>
      </c>
    </row>
    <row r="61" spans="1:28">
      <c r="A61">
        <f t="shared" si="10"/>
        <v>53</v>
      </c>
      <c r="B61">
        <f t="shared" si="11"/>
        <v>105</v>
      </c>
      <c r="C61" s="5" t="s">
        <v>76</v>
      </c>
      <c r="D61" s="6"/>
      <c r="E61" s="207">
        <v>5010</v>
      </c>
      <c r="F61" s="207" t="s">
        <v>137</v>
      </c>
      <c r="H61" t="str">
        <f t="shared" si="3"/>
        <v>Ertragskonto</v>
      </c>
      <c r="I61" s="120" t="str">
        <f t="shared" si="13"/>
        <v/>
      </c>
      <c r="Q61">
        <f t="shared" si="0"/>
        <v>5010</v>
      </c>
      <c r="R61">
        <f t="shared" si="4"/>
        <v>3</v>
      </c>
      <c r="S61">
        <f t="shared" si="5"/>
        <v>2</v>
      </c>
      <c r="T61">
        <f t="shared" si="6"/>
        <v>4</v>
      </c>
      <c r="U61">
        <f t="shared" si="1"/>
        <v>2</v>
      </c>
      <c r="W61">
        <f t="shared" si="12"/>
        <v>5010</v>
      </c>
      <c r="Y61">
        <f t="shared" si="7"/>
        <v>4.0000599999999977</v>
      </c>
      <c r="Z61">
        <f t="shared" si="8"/>
        <v>2.0000100000000001</v>
      </c>
      <c r="AA61" t="str">
        <f t="shared" si="9"/>
        <v/>
      </c>
      <c r="AB61" t="str">
        <f t="shared" si="2"/>
        <v/>
      </c>
    </row>
    <row r="62" spans="1:28">
      <c r="A62">
        <f t="shared" si="10"/>
        <v>54</v>
      </c>
      <c r="B62">
        <f t="shared" si="11"/>
        <v>107</v>
      </c>
      <c r="C62" s="5" t="s">
        <v>76</v>
      </c>
      <c r="D62" s="6"/>
      <c r="E62" s="207">
        <v>5020</v>
      </c>
      <c r="F62" s="207" t="s">
        <v>138</v>
      </c>
      <c r="H62" t="str">
        <f t="shared" si="3"/>
        <v>Ertragskonto</v>
      </c>
      <c r="I62" s="120" t="str">
        <f t="shared" si="13"/>
        <v/>
      </c>
      <c r="Q62">
        <f t="shared" si="0"/>
        <v>5020</v>
      </c>
      <c r="R62">
        <f t="shared" si="4"/>
        <v>3</v>
      </c>
      <c r="S62">
        <f t="shared" si="5"/>
        <v>2</v>
      </c>
      <c r="T62">
        <f t="shared" si="6"/>
        <v>4</v>
      </c>
      <c r="U62">
        <f t="shared" si="1"/>
        <v>2</v>
      </c>
      <c r="W62">
        <f t="shared" si="12"/>
        <v>5020</v>
      </c>
      <c r="Y62">
        <f t="shared" si="7"/>
        <v>4.0000699999999973</v>
      </c>
      <c r="Z62">
        <f t="shared" si="8"/>
        <v>2.0000200000000001</v>
      </c>
      <c r="AA62" t="str">
        <f t="shared" si="9"/>
        <v/>
      </c>
      <c r="AB62" t="str">
        <f t="shared" si="2"/>
        <v/>
      </c>
    </row>
    <row r="63" spans="1:28">
      <c r="A63">
        <f t="shared" si="10"/>
        <v>55</v>
      </c>
      <c r="B63">
        <f t="shared" si="11"/>
        <v>109</v>
      </c>
      <c r="C63" s="5" t="s">
        <v>76</v>
      </c>
      <c r="D63" s="6"/>
      <c r="E63" s="207">
        <v>5030</v>
      </c>
      <c r="F63" s="207" t="s">
        <v>139</v>
      </c>
      <c r="H63" t="str">
        <f t="shared" si="3"/>
        <v>Ertragskonto</v>
      </c>
      <c r="I63" s="120" t="str">
        <f t="shared" si="13"/>
        <v/>
      </c>
      <c r="Q63">
        <f t="shared" si="0"/>
        <v>5030</v>
      </c>
      <c r="R63">
        <f t="shared" si="4"/>
        <v>3</v>
      </c>
      <c r="S63">
        <f t="shared" si="5"/>
        <v>2</v>
      </c>
      <c r="T63">
        <f t="shared" si="6"/>
        <v>4</v>
      </c>
      <c r="U63">
        <f t="shared" si="1"/>
        <v>2</v>
      </c>
      <c r="W63">
        <f t="shared" si="12"/>
        <v>5030</v>
      </c>
      <c r="Y63">
        <f t="shared" si="7"/>
        <v>4.000079999999997</v>
      </c>
      <c r="Z63">
        <f t="shared" si="8"/>
        <v>2.0000300000000002</v>
      </c>
      <c r="AA63" t="str">
        <f t="shared" si="9"/>
        <v/>
      </c>
      <c r="AB63" t="str">
        <f t="shared" si="2"/>
        <v/>
      </c>
    </row>
    <row r="64" spans="1:28">
      <c r="A64">
        <f t="shared" si="10"/>
        <v>56</v>
      </c>
      <c r="B64">
        <f t="shared" si="11"/>
        <v>111</v>
      </c>
      <c r="C64" s="5" t="s">
        <v>76</v>
      </c>
      <c r="D64" s="6"/>
      <c r="E64" s="207">
        <v>5040</v>
      </c>
      <c r="F64" s="207" t="s">
        <v>140</v>
      </c>
      <c r="H64" t="str">
        <f t="shared" si="3"/>
        <v>Ertragskonto</v>
      </c>
      <c r="I64" s="120" t="str">
        <f t="shared" si="13"/>
        <v/>
      </c>
      <c r="Q64">
        <f t="shared" si="0"/>
        <v>5040</v>
      </c>
      <c r="R64">
        <f t="shared" si="4"/>
        <v>3</v>
      </c>
      <c r="S64">
        <f t="shared" si="5"/>
        <v>2</v>
      </c>
      <c r="T64">
        <f t="shared" si="6"/>
        <v>4</v>
      </c>
      <c r="U64">
        <f t="shared" si="1"/>
        <v>2</v>
      </c>
      <c r="W64">
        <f t="shared" si="12"/>
        <v>5040</v>
      </c>
      <c r="Y64">
        <f t="shared" si="7"/>
        <v>4.0000899999999966</v>
      </c>
      <c r="Z64">
        <f t="shared" si="8"/>
        <v>2.0000400000000003</v>
      </c>
      <c r="AA64" t="str">
        <f t="shared" si="9"/>
        <v/>
      </c>
      <c r="AB64" t="str">
        <f t="shared" si="2"/>
        <v/>
      </c>
    </row>
    <row r="65" spans="1:28">
      <c r="A65">
        <f t="shared" si="10"/>
        <v>57</v>
      </c>
      <c r="B65">
        <f t="shared" si="11"/>
        <v>113</v>
      </c>
      <c r="C65" s="5" t="s">
        <v>76</v>
      </c>
      <c r="D65" s="6"/>
      <c r="E65" s="207">
        <v>5050</v>
      </c>
      <c r="F65" s="207" t="s">
        <v>141</v>
      </c>
      <c r="H65" t="str">
        <f t="shared" si="3"/>
        <v>Ertragskonto</v>
      </c>
      <c r="I65" s="120" t="str">
        <f t="shared" si="13"/>
        <v/>
      </c>
      <c r="Q65">
        <f t="shared" si="0"/>
        <v>5050</v>
      </c>
      <c r="R65">
        <f t="shared" si="4"/>
        <v>3</v>
      </c>
      <c r="S65">
        <f t="shared" si="5"/>
        <v>2</v>
      </c>
      <c r="T65">
        <f t="shared" si="6"/>
        <v>4</v>
      </c>
      <c r="U65">
        <f t="shared" si="1"/>
        <v>2</v>
      </c>
      <c r="W65">
        <f t="shared" si="12"/>
        <v>5050</v>
      </c>
      <c r="Y65">
        <f t="shared" si="7"/>
        <v>4.0000999999999962</v>
      </c>
      <c r="Z65">
        <f t="shared" si="8"/>
        <v>2.0000500000000003</v>
      </c>
      <c r="AA65" t="str">
        <f t="shared" si="9"/>
        <v/>
      </c>
      <c r="AB65" t="str">
        <f t="shared" si="2"/>
        <v/>
      </c>
    </row>
    <row r="66" spans="1:28">
      <c r="A66">
        <f t="shared" si="10"/>
        <v>58</v>
      </c>
      <c r="B66">
        <f t="shared" si="11"/>
        <v>115</v>
      </c>
      <c r="C66" s="5" t="s">
        <v>76</v>
      </c>
      <c r="D66" s="6"/>
      <c r="E66" s="207">
        <v>5060</v>
      </c>
      <c r="F66" s="207" t="s">
        <v>142</v>
      </c>
      <c r="H66" t="str">
        <f t="shared" si="3"/>
        <v>Ertragskonto</v>
      </c>
      <c r="I66" s="120" t="str">
        <f t="shared" si="13"/>
        <v/>
      </c>
      <c r="Q66">
        <f t="shared" si="0"/>
        <v>5060</v>
      </c>
      <c r="R66">
        <f t="shared" si="4"/>
        <v>3</v>
      </c>
      <c r="S66">
        <f t="shared" si="5"/>
        <v>2</v>
      </c>
      <c r="T66">
        <f t="shared" si="6"/>
        <v>4</v>
      </c>
      <c r="U66">
        <f t="shared" si="1"/>
        <v>2</v>
      </c>
      <c r="W66">
        <f t="shared" si="12"/>
        <v>5060</v>
      </c>
      <c r="Y66">
        <f t="shared" si="7"/>
        <v>4.0001099999999958</v>
      </c>
      <c r="Z66">
        <f t="shared" si="8"/>
        <v>2.0000600000000004</v>
      </c>
      <c r="AA66" t="str">
        <f t="shared" si="9"/>
        <v/>
      </c>
      <c r="AB66" t="str">
        <f t="shared" si="2"/>
        <v/>
      </c>
    </row>
    <row r="67" spans="1:28">
      <c r="A67">
        <f t="shared" si="10"/>
        <v>59</v>
      </c>
      <c r="B67">
        <f t="shared" si="11"/>
        <v>117</v>
      </c>
      <c r="C67" s="5" t="s">
        <v>76</v>
      </c>
      <c r="D67" s="6"/>
      <c r="E67" s="207">
        <v>5070</v>
      </c>
      <c r="F67" s="207" t="s">
        <v>143</v>
      </c>
      <c r="H67" t="str">
        <f t="shared" si="3"/>
        <v>Ertragskonto</v>
      </c>
      <c r="I67" s="120" t="str">
        <f t="shared" si="13"/>
        <v/>
      </c>
      <c r="Q67">
        <f t="shared" si="0"/>
        <v>5070</v>
      </c>
      <c r="R67">
        <f t="shared" si="4"/>
        <v>3</v>
      </c>
      <c r="S67">
        <f t="shared" si="5"/>
        <v>2</v>
      </c>
      <c r="T67">
        <f t="shared" si="6"/>
        <v>4</v>
      </c>
      <c r="U67">
        <f t="shared" si="1"/>
        <v>2</v>
      </c>
      <c r="W67">
        <f t="shared" si="12"/>
        <v>5070</v>
      </c>
      <c r="Y67">
        <f t="shared" si="7"/>
        <v>4.0001199999999955</v>
      </c>
      <c r="Z67">
        <f t="shared" si="8"/>
        <v>2.0000700000000005</v>
      </c>
      <c r="AA67" t="str">
        <f t="shared" si="9"/>
        <v/>
      </c>
      <c r="AB67" t="str">
        <f t="shared" si="2"/>
        <v/>
      </c>
    </row>
    <row r="68" spans="1:28">
      <c r="A68">
        <f t="shared" si="10"/>
        <v>60</v>
      </c>
      <c r="B68">
        <f t="shared" si="11"/>
        <v>119</v>
      </c>
      <c r="C68" s="5" t="s">
        <v>76</v>
      </c>
      <c r="D68" s="6"/>
      <c r="E68" s="207">
        <v>5080</v>
      </c>
      <c r="F68" s="207" t="s">
        <v>144</v>
      </c>
      <c r="H68" t="str">
        <f t="shared" si="3"/>
        <v>Ertragskonto</v>
      </c>
      <c r="I68" s="120" t="str">
        <f t="shared" si="13"/>
        <v/>
      </c>
      <c r="Q68">
        <f t="shared" ref="Q68:Q131" si="14">E68</f>
        <v>5080</v>
      </c>
      <c r="R68">
        <f t="shared" ref="R68:R131" si="15">IF(OR(AND(D68&lt;&gt;"",C69="",C70=$C$3),AND(D68&lt;&gt;"",C69=$C$3)),R67+1,R67)</f>
        <v>3</v>
      </c>
      <c r="S68">
        <f t="shared" ref="S68:S131" si="16">IF(OR(AND(D68&lt;&gt;"",C69="",C70=$C$4),AND(D68&lt;&gt;"",C69=$C$4)),S67+1,S67)</f>
        <v>2</v>
      </c>
      <c r="T68">
        <f t="shared" ref="T68:T131" si="17">IF(OR(AND(D68&lt;&gt;"",C69="",C70=$C$5),AND(D68&lt;&gt;"",C69=$C$5)),T67+1,T67)</f>
        <v>4</v>
      </c>
      <c r="U68">
        <f t="shared" ref="U68:U131" si="18">IF(OR(AND(D68&lt;&gt;"",C69="",C70=$C$6),AND(D68&lt;&gt;"",C69=$C$6)),U67+1,U67)</f>
        <v>2</v>
      </c>
      <c r="W68">
        <f t="shared" ref="W68:W131" si="19">IF(E68="",W67+0.0001,E68)</f>
        <v>5080</v>
      </c>
      <c r="Y68">
        <f t="shared" si="7"/>
        <v>4.0001299999999951</v>
      </c>
      <c r="Z68">
        <f t="shared" si="8"/>
        <v>2.0000800000000005</v>
      </c>
      <c r="AA68" t="str">
        <f t="shared" si="9"/>
        <v/>
      </c>
      <c r="AB68" t="str">
        <f t="shared" si="2"/>
        <v/>
      </c>
    </row>
    <row r="69" spans="1:28">
      <c r="A69">
        <f t="shared" si="10"/>
        <v>61</v>
      </c>
      <c r="B69">
        <f t="shared" si="11"/>
        <v>121</v>
      </c>
      <c r="C69" s="5" t="s">
        <v>76</v>
      </c>
      <c r="D69" s="6"/>
      <c r="E69" s="207">
        <v>5090</v>
      </c>
      <c r="F69" s="207" t="s">
        <v>145</v>
      </c>
      <c r="H69" t="str">
        <f t="shared" si="3"/>
        <v>Ertragskonto</v>
      </c>
      <c r="I69" s="120" t="str">
        <f t="shared" si="13"/>
        <v/>
      </c>
      <c r="Q69">
        <f t="shared" si="14"/>
        <v>5090</v>
      </c>
      <c r="R69">
        <f t="shared" si="15"/>
        <v>3</v>
      </c>
      <c r="S69">
        <f t="shared" si="16"/>
        <v>2</v>
      </c>
      <c r="T69">
        <f t="shared" si="17"/>
        <v>4</v>
      </c>
      <c r="U69">
        <f t="shared" si="18"/>
        <v>2</v>
      </c>
      <c r="W69">
        <f t="shared" si="19"/>
        <v>5090</v>
      </c>
      <c r="Y69">
        <f t="shared" si="7"/>
        <v>4.0001399999999947</v>
      </c>
      <c r="Z69">
        <f t="shared" si="8"/>
        <v>2.0000900000000006</v>
      </c>
      <c r="AA69" t="str">
        <f t="shared" si="9"/>
        <v/>
      </c>
      <c r="AB69" t="str">
        <f t="shared" si="2"/>
        <v/>
      </c>
    </row>
    <row r="70" spans="1:28">
      <c r="A70">
        <f t="shared" si="10"/>
        <v>62</v>
      </c>
      <c r="B70">
        <f t="shared" si="11"/>
        <v>123</v>
      </c>
      <c r="C70" s="5" t="s">
        <v>76</v>
      </c>
      <c r="D70" s="6"/>
      <c r="E70" s="207">
        <v>5100</v>
      </c>
      <c r="F70" s="207" t="s">
        <v>146</v>
      </c>
      <c r="H70" t="str">
        <f t="shared" si="3"/>
        <v>Ertragskonto</v>
      </c>
      <c r="I70" s="120" t="str">
        <f t="shared" si="13"/>
        <v/>
      </c>
      <c r="Q70">
        <f t="shared" si="14"/>
        <v>5100</v>
      </c>
      <c r="R70">
        <f t="shared" si="15"/>
        <v>3</v>
      </c>
      <c r="S70">
        <f t="shared" si="16"/>
        <v>2</v>
      </c>
      <c r="T70">
        <f t="shared" si="17"/>
        <v>4</v>
      </c>
      <c r="U70">
        <f t="shared" si="18"/>
        <v>2</v>
      </c>
      <c r="W70">
        <f t="shared" si="19"/>
        <v>5100</v>
      </c>
      <c r="Y70">
        <f t="shared" si="7"/>
        <v>4.0001499999999943</v>
      </c>
      <c r="Z70">
        <f t="shared" si="8"/>
        <v>2.0001000000000007</v>
      </c>
      <c r="AA70" t="str">
        <f t="shared" si="9"/>
        <v/>
      </c>
      <c r="AB70" t="str">
        <f t="shared" si="2"/>
        <v/>
      </c>
    </row>
    <row r="71" spans="1:28">
      <c r="A71">
        <f t="shared" si="10"/>
        <v>63</v>
      </c>
      <c r="B71">
        <f t="shared" si="11"/>
        <v>125</v>
      </c>
      <c r="C71" s="5" t="s">
        <v>76</v>
      </c>
      <c r="D71" s="6"/>
      <c r="E71" s="207">
        <v>5110</v>
      </c>
      <c r="F71" s="207" t="s">
        <v>147</v>
      </c>
      <c r="H71" t="str">
        <f t="shared" si="3"/>
        <v>Ertragskonto</v>
      </c>
      <c r="I71" s="120" t="str">
        <f t="shared" si="13"/>
        <v/>
      </c>
      <c r="Q71">
        <f t="shared" si="14"/>
        <v>5110</v>
      </c>
      <c r="R71">
        <f t="shared" si="15"/>
        <v>3</v>
      </c>
      <c r="S71">
        <f t="shared" si="16"/>
        <v>2</v>
      </c>
      <c r="T71">
        <f t="shared" si="17"/>
        <v>4</v>
      </c>
      <c r="U71">
        <f t="shared" si="18"/>
        <v>2</v>
      </c>
      <c r="W71">
        <f t="shared" si="19"/>
        <v>5110</v>
      </c>
      <c r="Y71">
        <f t="shared" si="7"/>
        <v>4.0001599999999939</v>
      </c>
      <c r="Z71">
        <f t="shared" si="8"/>
        <v>2.0001100000000007</v>
      </c>
      <c r="AA71" t="str">
        <f t="shared" si="9"/>
        <v/>
      </c>
      <c r="AB71" t="str">
        <f t="shared" si="2"/>
        <v/>
      </c>
    </row>
    <row r="72" spans="1:28">
      <c r="A72">
        <f t="shared" si="10"/>
        <v>64</v>
      </c>
      <c r="B72">
        <f t="shared" si="11"/>
        <v>127</v>
      </c>
      <c r="C72" s="5" t="s">
        <v>76</v>
      </c>
      <c r="D72" s="6"/>
      <c r="E72" s="207">
        <v>5120</v>
      </c>
      <c r="F72" s="207" t="s">
        <v>148</v>
      </c>
      <c r="H72" t="str">
        <f t="shared" si="3"/>
        <v>Ertragskonto</v>
      </c>
      <c r="I72" s="120" t="str">
        <f t="shared" si="13"/>
        <v/>
      </c>
      <c r="Q72">
        <f t="shared" si="14"/>
        <v>5120</v>
      </c>
      <c r="R72">
        <f t="shared" si="15"/>
        <v>3</v>
      </c>
      <c r="S72">
        <f t="shared" si="16"/>
        <v>2</v>
      </c>
      <c r="T72">
        <f t="shared" si="17"/>
        <v>4</v>
      </c>
      <c r="U72">
        <f t="shared" si="18"/>
        <v>2</v>
      </c>
      <c r="W72">
        <f t="shared" si="19"/>
        <v>5120</v>
      </c>
      <c r="Y72">
        <f t="shared" si="7"/>
        <v>4.0001699999999936</v>
      </c>
      <c r="Z72">
        <f t="shared" si="8"/>
        <v>2.0001200000000008</v>
      </c>
      <c r="AA72" t="str">
        <f t="shared" si="9"/>
        <v/>
      </c>
      <c r="AB72" t="str">
        <f t="shared" si="2"/>
        <v/>
      </c>
    </row>
    <row r="73" spans="1:28">
      <c r="A73">
        <f t="shared" si="10"/>
        <v>65</v>
      </c>
      <c r="B73">
        <f t="shared" si="11"/>
        <v>129</v>
      </c>
      <c r="C73" s="5"/>
      <c r="D73" s="6" t="s">
        <v>149</v>
      </c>
      <c r="E73" s="207"/>
      <c r="F73" s="207"/>
      <c r="H73">
        <f t="shared" si="3"/>
        <v>0</v>
      </c>
      <c r="I73" s="120" t="str">
        <f t="shared" si="13"/>
        <v/>
      </c>
      <c r="Q73">
        <f t="shared" si="14"/>
        <v>0</v>
      </c>
      <c r="R73">
        <f t="shared" si="15"/>
        <v>3</v>
      </c>
      <c r="S73">
        <f t="shared" si="16"/>
        <v>2</v>
      </c>
      <c r="T73">
        <f t="shared" si="17"/>
        <v>4</v>
      </c>
      <c r="U73">
        <f t="shared" si="18"/>
        <v>3</v>
      </c>
      <c r="W73">
        <f t="shared" si="19"/>
        <v>5120.0001000000002</v>
      </c>
      <c r="Y73">
        <f t="shared" si="7"/>
        <v>4.0001799999999932</v>
      </c>
      <c r="Z73">
        <f t="shared" si="8"/>
        <v>3</v>
      </c>
      <c r="AA73" t="str">
        <f t="shared" si="9"/>
        <v/>
      </c>
      <c r="AB73" t="str">
        <f t="shared" ref="AB73:AB109" si="20">IF(U73-U72=0,"",D73)</f>
        <v>NK: Rückzahlungen</v>
      </c>
    </row>
    <row r="74" spans="1:28">
      <c r="A74">
        <f t="shared" si="10"/>
        <v>66</v>
      </c>
      <c r="B74">
        <f t="shared" si="11"/>
        <v>131</v>
      </c>
      <c r="C74" s="5" t="s">
        <v>76</v>
      </c>
      <c r="D74" s="6"/>
      <c r="E74" s="207">
        <v>6010</v>
      </c>
      <c r="F74" s="207" t="s">
        <v>150</v>
      </c>
      <c r="H74" t="str">
        <f t="shared" ref="H74:H87" si="21">C74</f>
        <v>Ertragskonto</v>
      </c>
      <c r="I74" s="120" t="str">
        <f t="shared" si="13"/>
        <v/>
      </c>
      <c r="Q74">
        <f t="shared" si="14"/>
        <v>6010</v>
      </c>
      <c r="R74">
        <f t="shared" si="15"/>
        <v>3</v>
      </c>
      <c r="S74">
        <f t="shared" si="16"/>
        <v>2</v>
      </c>
      <c r="T74">
        <f t="shared" si="17"/>
        <v>4</v>
      </c>
      <c r="U74">
        <f t="shared" si="18"/>
        <v>3</v>
      </c>
      <c r="W74">
        <f t="shared" si="19"/>
        <v>6010</v>
      </c>
      <c r="Y74">
        <f t="shared" ref="Y74:Y137" si="22">IF(T74-T73=0,Y73+0.00001,T74)</f>
        <v>4.0001899999999928</v>
      </c>
      <c r="Z74">
        <f t="shared" ref="Z74:Z137" si="23">IF(U74-U73=0,Z73+0.00001,U74)</f>
        <v>3.0000100000000001</v>
      </c>
      <c r="AA74" t="str">
        <f t="shared" ref="AA74:AA137" si="24">IF(T74-T73=0,"",D74)</f>
        <v/>
      </c>
      <c r="AB74" t="str">
        <f t="shared" si="20"/>
        <v/>
      </c>
    </row>
    <row r="75" spans="1:28">
      <c r="A75">
        <f t="shared" ref="A75:A138" si="25">A74+1</f>
        <v>67</v>
      </c>
      <c r="B75">
        <f t="shared" ref="B75:B278" si="26">B74+2</f>
        <v>133</v>
      </c>
      <c r="C75" s="5" t="s">
        <v>76</v>
      </c>
      <c r="D75" s="6"/>
      <c r="E75" s="207">
        <v>6020</v>
      </c>
      <c r="F75" s="207" t="s">
        <v>151</v>
      </c>
      <c r="H75" t="str">
        <f t="shared" si="21"/>
        <v>Ertragskonto</v>
      </c>
      <c r="I75" s="120" t="str">
        <f t="shared" si="13"/>
        <v/>
      </c>
      <c r="Q75">
        <f t="shared" si="14"/>
        <v>6020</v>
      </c>
      <c r="R75">
        <f t="shared" si="15"/>
        <v>3</v>
      </c>
      <c r="S75">
        <f t="shared" si="16"/>
        <v>2</v>
      </c>
      <c r="T75">
        <f t="shared" si="17"/>
        <v>4</v>
      </c>
      <c r="U75">
        <f t="shared" si="18"/>
        <v>3</v>
      </c>
      <c r="W75">
        <f t="shared" si="19"/>
        <v>6020</v>
      </c>
      <c r="Y75">
        <f t="shared" si="22"/>
        <v>4.0001999999999924</v>
      </c>
      <c r="Z75">
        <f t="shared" si="23"/>
        <v>3.0000200000000001</v>
      </c>
      <c r="AA75" t="str">
        <f t="shared" si="24"/>
        <v/>
      </c>
      <c r="AB75" t="str">
        <f t="shared" si="20"/>
        <v/>
      </c>
    </row>
    <row r="76" spans="1:28">
      <c r="A76">
        <f t="shared" si="25"/>
        <v>68</v>
      </c>
      <c r="B76">
        <f t="shared" si="26"/>
        <v>135</v>
      </c>
      <c r="C76" s="5" t="s">
        <v>76</v>
      </c>
      <c r="D76" s="6"/>
      <c r="E76" s="207">
        <v>6030</v>
      </c>
      <c r="F76" s="207" t="s">
        <v>152</v>
      </c>
      <c r="H76" t="str">
        <f t="shared" si="21"/>
        <v>Ertragskonto</v>
      </c>
      <c r="I76" s="120" t="str">
        <f t="shared" si="13"/>
        <v/>
      </c>
      <c r="Q76">
        <f t="shared" si="14"/>
        <v>6030</v>
      </c>
      <c r="R76">
        <f t="shared" si="15"/>
        <v>3</v>
      </c>
      <c r="S76">
        <f t="shared" si="16"/>
        <v>2</v>
      </c>
      <c r="T76">
        <f t="shared" si="17"/>
        <v>4</v>
      </c>
      <c r="U76">
        <f t="shared" si="18"/>
        <v>3</v>
      </c>
      <c r="W76">
        <f t="shared" si="19"/>
        <v>6030</v>
      </c>
      <c r="Y76">
        <f t="shared" si="22"/>
        <v>4.000209999999992</v>
      </c>
      <c r="Z76">
        <f t="shared" si="23"/>
        <v>3.0000300000000002</v>
      </c>
      <c r="AA76" t="str">
        <f t="shared" si="24"/>
        <v/>
      </c>
      <c r="AB76" t="str">
        <f t="shared" si="20"/>
        <v/>
      </c>
    </row>
    <row r="77" spans="1:28">
      <c r="A77">
        <f t="shared" si="25"/>
        <v>69</v>
      </c>
      <c r="B77">
        <f t="shared" si="26"/>
        <v>137</v>
      </c>
      <c r="C77" s="5" t="s">
        <v>76</v>
      </c>
      <c r="D77" s="6"/>
      <c r="E77" s="207">
        <v>6040</v>
      </c>
      <c r="F77" s="207" t="s">
        <v>153</v>
      </c>
      <c r="H77" t="str">
        <f t="shared" si="21"/>
        <v>Ertragskonto</v>
      </c>
      <c r="I77" s="120" t="str">
        <f t="shared" si="13"/>
        <v/>
      </c>
      <c r="Q77">
        <f t="shared" si="14"/>
        <v>6040</v>
      </c>
      <c r="R77">
        <f t="shared" si="15"/>
        <v>3</v>
      </c>
      <c r="S77">
        <f t="shared" si="16"/>
        <v>2</v>
      </c>
      <c r="T77">
        <f t="shared" si="17"/>
        <v>4</v>
      </c>
      <c r="U77">
        <f t="shared" si="18"/>
        <v>3</v>
      </c>
      <c r="W77">
        <f t="shared" si="19"/>
        <v>6040</v>
      </c>
      <c r="Y77">
        <f t="shared" si="22"/>
        <v>4.0002199999999917</v>
      </c>
      <c r="Z77">
        <f t="shared" si="23"/>
        <v>3.0000400000000003</v>
      </c>
      <c r="AA77" t="str">
        <f t="shared" si="24"/>
        <v/>
      </c>
      <c r="AB77" t="str">
        <f t="shared" si="20"/>
        <v/>
      </c>
    </row>
    <row r="78" spans="1:28">
      <c r="A78">
        <f t="shared" si="25"/>
        <v>70</v>
      </c>
      <c r="B78">
        <f t="shared" si="26"/>
        <v>139</v>
      </c>
      <c r="C78" s="5" t="s">
        <v>76</v>
      </c>
      <c r="D78" s="6"/>
      <c r="E78" s="207">
        <v>6050</v>
      </c>
      <c r="F78" s="207" t="s">
        <v>154</v>
      </c>
      <c r="H78" t="str">
        <f t="shared" si="21"/>
        <v>Ertragskonto</v>
      </c>
      <c r="I78" s="120" t="str">
        <f t="shared" si="13"/>
        <v/>
      </c>
      <c r="Q78">
        <f t="shared" si="14"/>
        <v>6050</v>
      </c>
      <c r="R78">
        <f t="shared" si="15"/>
        <v>3</v>
      </c>
      <c r="S78">
        <f t="shared" si="16"/>
        <v>2</v>
      </c>
      <c r="T78">
        <f t="shared" si="17"/>
        <v>4</v>
      </c>
      <c r="U78">
        <f t="shared" si="18"/>
        <v>3</v>
      </c>
      <c r="W78">
        <f t="shared" si="19"/>
        <v>6050</v>
      </c>
      <c r="Y78">
        <f t="shared" si="22"/>
        <v>4.0002299999999913</v>
      </c>
      <c r="Z78">
        <f t="shared" si="23"/>
        <v>3.0000500000000003</v>
      </c>
      <c r="AA78" t="str">
        <f t="shared" si="24"/>
        <v/>
      </c>
      <c r="AB78" t="str">
        <f t="shared" si="20"/>
        <v/>
      </c>
    </row>
    <row r="79" spans="1:28">
      <c r="A79">
        <f t="shared" si="25"/>
        <v>71</v>
      </c>
      <c r="B79">
        <f t="shared" si="26"/>
        <v>141</v>
      </c>
      <c r="C79" s="5" t="s">
        <v>76</v>
      </c>
      <c r="D79" s="6"/>
      <c r="E79" s="207">
        <v>6060</v>
      </c>
      <c r="F79" s="207" t="s">
        <v>155</v>
      </c>
      <c r="H79" t="str">
        <f t="shared" si="21"/>
        <v>Ertragskonto</v>
      </c>
      <c r="I79" s="120" t="str">
        <f t="shared" si="13"/>
        <v/>
      </c>
      <c r="Q79">
        <f t="shared" si="14"/>
        <v>6060</v>
      </c>
      <c r="R79">
        <f t="shared" si="15"/>
        <v>3</v>
      </c>
      <c r="S79">
        <f t="shared" si="16"/>
        <v>2</v>
      </c>
      <c r="T79">
        <f t="shared" si="17"/>
        <v>4</v>
      </c>
      <c r="U79">
        <f t="shared" si="18"/>
        <v>3</v>
      </c>
      <c r="W79">
        <f t="shared" si="19"/>
        <v>6060</v>
      </c>
      <c r="Y79">
        <f t="shared" si="22"/>
        <v>4.0002399999999909</v>
      </c>
      <c r="Z79">
        <f t="shared" si="23"/>
        <v>3.0000600000000004</v>
      </c>
      <c r="AA79" t="str">
        <f t="shared" si="24"/>
        <v/>
      </c>
      <c r="AB79" t="str">
        <f t="shared" si="20"/>
        <v/>
      </c>
    </row>
    <row r="80" spans="1:28">
      <c r="A80">
        <f t="shared" si="25"/>
        <v>72</v>
      </c>
      <c r="B80">
        <f t="shared" si="26"/>
        <v>143</v>
      </c>
      <c r="C80" s="5" t="s">
        <v>76</v>
      </c>
      <c r="D80" s="6"/>
      <c r="E80" s="207">
        <v>6070</v>
      </c>
      <c r="F80" s="207" t="s">
        <v>156</v>
      </c>
      <c r="H80" t="str">
        <f t="shared" si="21"/>
        <v>Ertragskonto</v>
      </c>
      <c r="I80" s="120" t="str">
        <f t="shared" ref="I80:I143" si="27">IF(AND(AND(C80="",D80="",E80="",F80=""),OR(C81&lt;&gt;"",D81&lt;&gt;"")),"Bitte diese Zeile nicht leer lassen",IF(AND(D80&lt;&gt;"",OR(C80&lt;&gt;"",E80&lt;&gt;"",F80&lt;&gt;"")),"Bitte Zeile nur als Titelzeile (Spalte D) oder als Kontozeile (andere Spalten) verwenden",IF(E80="","",IF(AND(E80&lt;&gt;"",F80&lt;&gt;"",C80=""),"Bitte gültige Kontokategorie (s. oben) zuweisen",IF(OR(E80&lt;=E79,E80&lt;=E78),"Kontonummern müssen aufsteigend eingegeben werden.",IF(OR(E80&lt;1000,E80&gt;9999),CONCATENATE(E80," auf Spalte F ist keine vierstellige Kontonummer"),IF(OR(C80=C$3,C80=C$4,C80=C$5,C80=C$6),"","Bitte gültige Kontokategorie eingeben")))))))</f>
        <v/>
      </c>
      <c r="Q80">
        <f t="shared" si="14"/>
        <v>6070</v>
      </c>
      <c r="R80">
        <f t="shared" si="15"/>
        <v>3</v>
      </c>
      <c r="S80">
        <f t="shared" si="16"/>
        <v>2</v>
      </c>
      <c r="T80">
        <f t="shared" si="17"/>
        <v>4</v>
      </c>
      <c r="U80">
        <f t="shared" si="18"/>
        <v>3</v>
      </c>
      <c r="W80">
        <f t="shared" si="19"/>
        <v>6070</v>
      </c>
      <c r="Y80">
        <f t="shared" si="22"/>
        <v>4.0002499999999905</v>
      </c>
      <c r="Z80">
        <f t="shared" si="23"/>
        <v>3.0000700000000005</v>
      </c>
      <c r="AA80" t="str">
        <f t="shared" si="24"/>
        <v/>
      </c>
      <c r="AB80" t="str">
        <f t="shared" si="20"/>
        <v/>
      </c>
    </row>
    <row r="81" spans="1:28">
      <c r="A81">
        <f t="shared" si="25"/>
        <v>73</v>
      </c>
      <c r="B81">
        <f t="shared" si="26"/>
        <v>145</v>
      </c>
      <c r="C81" s="5" t="s">
        <v>76</v>
      </c>
      <c r="D81" s="6"/>
      <c r="E81" s="207">
        <v>6080</v>
      </c>
      <c r="F81" s="207" t="s">
        <v>157</v>
      </c>
      <c r="H81" t="str">
        <f t="shared" si="21"/>
        <v>Ertragskonto</v>
      </c>
      <c r="I81" s="120" t="str">
        <f t="shared" si="27"/>
        <v/>
      </c>
      <c r="Q81">
        <f t="shared" si="14"/>
        <v>6080</v>
      </c>
      <c r="R81">
        <f t="shared" si="15"/>
        <v>3</v>
      </c>
      <c r="S81">
        <f t="shared" si="16"/>
        <v>2</v>
      </c>
      <c r="T81">
        <f t="shared" si="17"/>
        <v>4</v>
      </c>
      <c r="U81">
        <f t="shared" si="18"/>
        <v>3</v>
      </c>
      <c r="W81">
        <f t="shared" si="19"/>
        <v>6080</v>
      </c>
      <c r="Y81">
        <f t="shared" si="22"/>
        <v>4.0002599999999902</v>
      </c>
      <c r="Z81">
        <f t="shared" si="23"/>
        <v>3.0000800000000005</v>
      </c>
      <c r="AA81" t="str">
        <f t="shared" si="24"/>
        <v/>
      </c>
      <c r="AB81" t="str">
        <f t="shared" si="20"/>
        <v/>
      </c>
    </row>
    <row r="82" spans="1:28">
      <c r="A82">
        <f t="shared" si="25"/>
        <v>74</v>
      </c>
      <c r="B82">
        <f t="shared" si="26"/>
        <v>147</v>
      </c>
      <c r="C82" s="5" t="s">
        <v>76</v>
      </c>
      <c r="D82" s="6"/>
      <c r="E82" s="207">
        <v>6090</v>
      </c>
      <c r="F82" s="207" t="s">
        <v>158</v>
      </c>
      <c r="H82" t="str">
        <f t="shared" si="21"/>
        <v>Ertragskonto</v>
      </c>
      <c r="I82" s="120" t="str">
        <f t="shared" si="27"/>
        <v/>
      </c>
      <c r="Q82">
        <f t="shared" si="14"/>
        <v>6090</v>
      </c>
      <c r="R82">
        <f t="shared" si="15"/>
        <v>3</v>
      </c>
      <c r="S82">
        <f t="shared" si="16"/>
        <v>2</v>
      </c>
      <c r="T82">
        <f t="shared" si="17"/>
        <v>4</v>
      </c>
      <c r="U82">
        <f t="shared" si="18"/>
        <v>3</v>
      </c>
      <c r="W82">
        <f t="shared" si="19"/>
        <v>6090</v>
      </c>
      <c r="Y82">
        <f t="shared" si="22"/>
        <v>4.0002699999999898</v>
      </c>
      <c r="Z82">
        <f t="shared" si="23"/>
        <v>3.0000900000000006</v>
      </c>
      <c r="AA82" t="str">
        <f t="shared" si="24"/>
        <v/>
      </c>
      <c r="AB82" t="str">
        <f t="shared" si="20"/>
        <v/>
      </c>
    </row>
    <row r="83" spans="1:28">
      <c r="A83">
        <f t="shared" si="25"/>
        <v>75</v>
      </c>
      <c r="B83">
        <f t="shared" si="26"/>
        <v>149</v>
      </c>
      <c r="C83" s="5" t="s">
        <v>76</v>
      </c>
      <c r="D83" s="6"/>
      <c r="E83" s="207">
        <v>6100</v>
      </c>
      <c r="F83" s="207" t="s">
        <v>159</v>
      </c>
      <c r="H83" t="str">
        <f t="shared" si="21"/>
        <v>Ertragskonto</v>
      </c>
      <c r="I83" s="120" t="str">
        <f t="shared" si="27"/>
        <v/>
      </c>
      <c r="Q83">
        <f t="shared" si="14"/>
        <v>6100</v>
      </c>
      <c r="R83">
        <f t="shared" si="15"/>
        <v>3</v>
      </c>
      <c r="S83">
        <f t="shared" si="16"/>
        <v>2</v>
      </c>
      <c r="T83">
        <f t="shared" si="17"/>
        <v>4</v>
      </c>
      <c r="U83">
        <f t="shared" si="18"/>
        <v>3</v>
      </c>
      <c r="W83">
        <f t="shared" si="19"/>
        <v>6100</v>
      </c>
      <c r="Y83">
        <f t="shared" si="22"/>
        <v>4.0002799999999894</v>
      </c>
      <c r="Z83">
        <f t="shared" si="23"/>
        <v>3.0001000000000007</v>
      </c>
      <c r="AA83" t="str">
        <f t="shared" si="24"/>
        <v/>
      </c>
      <c r="AB83" t="str">
        <f t="shared" si="20"/>
        <v/>
      </c>
    </row>
    <row r="84" spans="1:28">
      <c r="A84">
        <f t="shared" si="25"/>
        <v>76</v>
      </c>
      <c r="B84">
        <f t="shared" si="26"/>
        <v>151</v>
      </c>
      <c r="C84" s="5" t="s">
        <v>76</v>
      </c>
      <c r="D84" s="6"/>
      <c r="E84" s="207">
        <v>6110</v>
      </c>
      <c r="F84" s="207" t="s">
        <v>160</v>
      </c>
      <c r="H84" t="str">
        <f t="shared" si="21"/>
        <v>Ertragskonto</v>
      </c>
      <c r="I84" s="120" t="str">
        <f t="shared" si="27"/>
        <v/>
      </c>
      <c r="Q84">
        <f t="shared" si="14"/>
        <v>6110</v>
      </c>
      <c r="R84">
        <f t="shared" si="15"/>
        <v>3</v>
      </c>
      <c r="S84">
        <f t="shared" si="16"/>
        <v>2</v>
      </c>
      <c r="T84">
        <f t="shared" si="17"/>
        <v>4</v>
      </c>
      <c r="U84">
        <f t="shared" si="18"/>
        <v>3</v>
      </c>
      <c r="W84">
        <f t="shared" si="19"/>
        <v>6110</v>
      </c>
      <c r="Y84">
        <f t="shared" si="22"/>
        <v>4.000289999999989</v>
      </c>
      <c r="Z84">
        <f t="shared" si="23"/>
        <v>3.0001100000000007</v>
      </c>
      <c r="AA84" t="str">
        <f t="shared" si="24"/>
        <v/>
      </c>
      <c r="AB84" t="str">
        <f t="shared" si="20"/>
        <v/>
      </c>
    </row>
    <row r="85" spans="1:28">
      <c r="A85">
        <f t="shared" si="25"/>
        <v>77</v>
      </c>
      <c r="B85">
        <f t="shared" si="26"/>
        <v>153</v>
      </c>
      <c r="C85" s="5" t="s">
        <v>76</v>
      </c>
      <c r="D85" s="6"/>
      <c r="E85" s="207">
        <v>6120</v>
      </c>
      <c r="F85" s="207" t="s">
        <v>161</v>
      </c>
      <c r="H85" t="str">
        <f t="shared" si="21"/>
        <v>Ertragskonto</v>
      </c>
      <c r="I85" s="120" t="str">
        <f t="shared" si="27"/>
        <v/>
      </c>
      <c r="Q85">
        <f t="shared" si="14"/>
        <v>6120</v>
      </c>
      <c r="R85">
        <f t="shared" si="15"/>
        <v>3</v>
      </c>
      <c r="S85">
        <f t="shared" si="16"/>
        <v>2</v>
      </c>
      <c r="T85">
        <f t="shared" si="17"/>
        <v>4</v>
      </c>
      <c r="U85">
        <f t="shared" si="18"/>
        <v>3</v>
      </c>
      <c r="W85">
        <f t="shared" si="19"/>
        <v>6120</v>
      </c>
      <c r="Y85">
        <f t="shared" si="22"/>
        <v>4.0002999999999886</v>
      </c>
      <c r="Z85">
        <f t="shared" si="23"/>
        <v>3.0001200000000008</v>
      </c>
      <c r="AA85" t="str">
        <f t="shared" si="24"/>
        <v/>
      </c>
      <c r="AB85" t="str">
        <f t="shared" si="20"/>
        <v/>
      </c>
    </row>
    <row r="86" spans="1:28">
      <c r="A86">
        <f t="shared" si="25"/>
        <v>78</v>
      </c>
      <c r="B86">
        <f t="shared" si="26"/>
        <v>155</v>
      </c>
      <c r="C86" s="5"/>
      <c r="D86" s="6" t="s">
        <v>162</v>
      </c>
      <c r="E86" s="207"/>
      <c r="F86" s="207"/>
      <c r="H86">
        <f t="shared" si="21"/>
        <v>0</v>
      </c>
      <c r="I86" s="120" t="str">
        <f t="shared" si="27"/>
        <v/>
      </c>
      <c r="Q86">
        <f t="shared" si="14"/>
        <v>0</v>
      </c>
      <c r="R86">
        <f t="shared" si="15"/>
        <v>3</v>
      </c>
      <c r="S86">
        <f t="shared" si="16"/>
        <v>2</v>
      </c>
      <c r="T86">
        <f t="shared" si="17"/>
        <v>4</v>
      </c>
      <c r="U86">
        <f t="shared" si="18"/>
        <v>4</v>
      </c>
      <c r="W86">
        <f t="shared" si="19"/>
        <v>6120.0001000000002</v>
      </c>
      <c r="Y86">
        <f t="shared" si="22"/>
        <v>4.0003099999999883</v>
      </c>
      <c r="Z86">
        <f t="shared" si="23"/>
        <v>4</v>
      </c>
      <c r="AA86" t="str">
        <f t="shared" si="24"/>
        <v/>
      </c>
      <c r="AB86" t="str">
        <f t="shared" si="20"/>
        <v>Eröffnung</v>
      </c>
    </row>
    <row r="87" spans="1:28">
      <c r="A87">
        <f t="shared" si="25"/>
        <v>79</v>
      </c>
      <c r="B87">
        <f t="shared" si="26"/>
        <v>157</v>
      </c>
      <c r="C87" s="5" t="s">
        <v>76</v>
      </c>
      <c r="D87" s="6"/>
      <c r="E87" s="207">
        <v>9999</v>
      </c>
      <c r="F87" s="207" t="s">
        <v>163</v>
      </c>
      <c r="H87" t="str">
        <f t="shared" si="21"/>
        <v>Ertragskonto</v>
      </c>
      <c r="I87" s="120" t="str">
        <f t="shared" si="27"/>
        <v/>
      </c>
      <c r="Q87">
        <f t="shared" si="14"/>
        <v>9999</v>
      </c>
      <c r="R87">
        <f t="shared" si="15"/>
        <v>3</v>
      </c>
      <c r="S87">
        <f t="shared" si="16"/>
        <v>2</v>
      </c>
      <c r="T87">
        <f t="shared" si="17"/>
        <v>4</v>
      </c>
      <c r="U87">
        <f t="shared" si="18"/>
        <v>4</v>
      </c>
      <c r="W87">
        <f t="shared" si="19"/>
        <v>9999</v>
      </c>
      <c r="Y87">
        <f t="shared" si="22"/>
        <v>4.0003199999999879</v>
      </c>
      <c r="Z87">
        <f t="shared" si="23"/>
        <v>4.0000099999999996</v>
      </c>
      <c r="AA87" t="str">
        <f t="shared" si="24"/>
        <v/>
      </c>
      <c r="AB87" t="str">
        <f t="shared" si="20"/>
        <v/>
      </c>
    </row>
    <row r="88" spans="1:28">
      <c r="A88">
        <f t="shared" si="25"/>
        <v>80</v>
      </c>
      <c r="B88">
        <f t="shared" si="26"/>
        <v>159</v>
      </c>
      <c r="C88" s="5"/>
      <c r="D88" s="6"/>
      <c r="E88" s="207"/>
      <c r="F88" s="207"/>
      <c r="I88" s="120" t="str">
        <f t="shared" si="27"/>
        <v/>
      </c>
      <c r="Q88">
        <f t="shared" si="14"/>
        <v>0</v>
      </c>
      <c r="R88">
        <f t="shared" si="15"/>
        <v>3</v>
      </c>
      <c r="S88">
        <f t="shared" si="16"/>
        <v>2</v>
      </c>
      <c r="T88">
        <f t="shared" si="17"/>
        <v>4</v>
      </c>
      <c r="U88">
        <f t="shared" si="18"/>
        <v>4</v>
      </c>
      <c r="W88">
        <f t="shared" si="19"/>
        <v>9999.0000999999993</v>
      </c>
      <c r="Y88">
        <f t="shared" si="22"/>
        <v>4.0003299999999875</v>
      </c>
      <c r="Z88">
        <f t="shared" si="23"/>
        <v>4.0000199999999992</v>
      </c>
      <c r="AA88" t="str">
        <f t="shared" si="24"/>
        <v/>
      </c>
      <c r="AB88" t="str">
        <f t="shared" si="20"/>
        <v/>
      </c>
    </row>
    <row r="89" spans="1:28">
      <c r="A89">
        <f t="shared" si="25"/>
        <v>81</v>
      </c>
      <c r="B89">
        <f t="shared" si="26"/>
        <v>161</v>
      </c>
      <c r="C89" s="5"/>
      <c r="D89" s="6"/>
      <c r="E89" s="207"/>
      <c r="F89" s="207"/>
      <c r="I89" s="120" t="str">
        <f t="shared" si="27"/>
        <v/>
      </c>
      <c r="Q89">
        <f t="shared" si="14"/>
        <v>0</v>
      </c>
      <c r="R89">
        <f t="shared" si="15"/>
        <v>3</v>
      </c>
      <c r="S89">
        <f t="shared" si="16"/>
        <v>2</v>
      </c>
      <c r="T89">
        <f t="shared" si="17"/>
        <v>4</v>
      </c>
      <c r="U89">
        <f t="shared" si="18"/>
        <v>4</v>
      </c>
      <c r="W89">
        <f t="shared" si="19"/>
        <v>9999.0001999999986</v>
      </c>
      <c r="Y89">
        <f t="shared" si="22"/>
        <v>4.0003399999999871</v>
      </c>
      <c r="Z89">
        <f t="shared" si="23"/>
        <v>4.0000299999999989</v>
      </c>
      <c r="AA89" t="str">
        <f t="shared" si="24"/>
        <v/>
      </c>
      <c r="AB89" t="str">
        <f t="shared" si="20"/>
        <v/>
      </c>
    </row>
    <row r="90" spans="1:28">
      <c r="A90">
        <f t="shared" si="25"/>
        <v>82</v>
      </c>
      <c r="B90">
        <f t="shared" si="26"/>
        <v>163</v>
      </c>
      <c r="C90" s="5"/>
      <c r="D90" s="6"/>
      <c r="E90" s="207"/>
      <c r="F90" s="207"/>
      <c r="I90" s="120" t="str">
        <f t="shared" si="27"/>
        <v/>
      </c>
      <c r="Q90">
        <f t="shared" si="14"/>
        <v>0</v>
      </c>
      <c r="R90">
        <f t="shared" si="15"/>
        <v>3</v>
      </c>
      <c r="S90">
        <f t="shared" si="16"/>
        <v>2</v>
      </c>
      <c r="T90">
        <f t="shared" si="17"/>
        <v>4</v>
      </c>
      <c r="U90">
        <f t="shared" si="18"/>
        <v>4</v>
      </c>
      <c r="W90">
        <f t="shared" si="19"/>
        <v>9999.0002999999979</v>
      </c>
      <c r="Y90">
        <f t="shared" si="22"/>
        <v>4.0003499999999867</v>
      </c>
      <c r="Z90">
        <f t="shared" si="23"/>
        <v>4.0000399999999985</v>
      </c>
      <c r="AA90" t="str">
        <f t="shared" si="24"/>
        <v/>
      </c>
      <c r="AB90" t="str">
        <f t="shared" si="20"/>
        <v/>
      </c>
    </row>
    <row r="91" spans="1:28">
      <c r="A91">
        <f t="shared" si="25"/>
        <v>83</v>
      </c>
      <c r="B91">
        <f t="shared" si="26"/>
        <v>165</v>
      </c>
      <c r="C91" s="5"/>
      <c r="D91" s="6"/>
      <c r="E91" s="207"/>
      <c r="F91" s="207"/>
      <c r="I91" s="120" t="str">
        <f t="shared" si="27"/>
        <v/>
      </c>
      <c r="Q91">
        <f t="shared" si="14"/>
        <v>0</v>
      </c>
      <c r="R91">
        <f t="shared" si="15"/>
        <v>3</v>
      </c>
      <c r="S91">
        <f t="shared" si="16"/>
        <v>2</v>
      </c>
      <c r="T91">
        <f t="shared" si="17"/>
        <v>4</v>
      </c>
      <c r="U91">
        <f t="shared" si="18"/>
        <v>4</v>
      </c>
      <c r="W91">
        <f t="shared" si="19"/>
        <v>9999.0003999999972</v>
      </c>
      <c r="Y91">
        <f t="shared" si="22"/>
        <v>4.0003599999999864</v>
      </c>
      <c r="Z91">
        <f t="shared" si="23"/>
        <v>4.0000499999999981</v>
      </c>
      <c r="AA91" t="str">
        <f t="shared" si="24"/>
        <v/>
      </c>
      <c r="AB91" t="str">
        <f t="shared" si="20"/>
        <v/>
      </c>
    </row>
    <row r="92" spans="1:28">
      <c r="A92">
        <f t="shared" si="25"/>
        <v>84</v>
      </c>
      <c r="B92">
        <f t="shared" si="26"/>
        <v>167</v>
      </c>
      <c r="C92" s="5"/>
      <c r="D92" s="6"/>
      <c r="E92" s="207"/>
      <c r="F92" s="207"/>
      <c r="I92" s="120" t="str">
        <f t="shared" si="27"/>
        <v/>
      </c>
      <c r="Q92">
        <f t="shared" si="14"/>
        <v>0</v>
      </c>
      <c r="R92">
        <f t="shared" si="15"/>
        <v>3</v>
      </c>
      <c r="S92">
        <f t="shared" si="16"/>
        <v>2</v>
      </c>
      <c r="T92">
        <f t="shared" si="17"/>
        <v>4</v>
      </c>
      <c r="U92">
        <f t="shared" si="18"/>
        <v>4</v>
      </c>
      <c r="W92">
        <f t="shared" si="19"/>
        <v>9999.0004999999965</v>
      </c>
      <c r="Y92">
        <f t="shared" si="22"/>
        <v>4.000369999999986</v>
      </c>
      <c r="Z92">
        <f t="shared" si="23"/>
        <v>4.0000599999999977</v>
      </c>
      <c r="AA92" t="str">
        <f t="shared" si="24"/>
        <v/>
      </c>
      <c r="AB92" t="str">
        <f t="shared" si="20"/>
        <v/>
      </c>
    </row>
    <row r="93" spans="1:28">
      <c r="A93">
        <f t="shared" si="25"/>
        <v>85</v>
      </c>
      <c r="B93">
        <f t="shared" si="26"/>
        <v>169</v>
      </c>
      <c r="C93" s="5"/>
      <c r="D93" s="6"/>
      <c r="E93" s="207"/>
      <c r="F93" s="207"/>
      <c r="I93" s="120" t="str">
        <f t="shared" si="27"/>
        <v/>
      </c>
      <c r="Q93">
        <f t="shared" si="14"/>
        <v>0</v>
      </c>
      <c r="R93">
        <f t="shared" si="15"/>
        <v>3</v>
      </c>
      <c r="S93">
        <f t="shared" si="16"/>
        <v>2</v>
      </c>
      <c r="T93">
        <f t="shared" si="17"/>
        <v>4</v>
      </c>
      <c r="U93">
        <f t="shared" si="18"/>
        <v>4</v>
      </c>
      <c r="W93">
        <f t="shared" si="19"/>
        <v>9999.0005999999958</v>
      </c>
      <c r="Y93">
        <f t="shared" si="22"/>
        <v>4.0003799999999856</v>
      </c>
      <c r="Z93">
        <f t="shared" si="23"/>
        <v>4.0000699999999973</v>
      </c>
      <c r="AA93" t="str">
        <f t="shared" si="24"/>
        <v/>
      </c>
      <c r="AB93" t="str">
        <f t="shared" si="20"/>
        <v/>
      </c>
    </row>
    <row r="94" spans="1:28">
      <c r="A94">
        <f t="shared" si="25"/>
        <v>86</v>
      </c>
      <c r="B94">
        <f t="shared" si="26"/>
        <v>171</v>
      </c>
      <c r="C94" s="5"/>
      <c r="D94" s="6"/>
      <c r="E94" s="207"/>
      <c r="F94" s="207"/>
      <c r="I94" s="120" t="str">
        <f t="shared" si="27"/>
        <v/>
      </c>
      <c r="Q94">
        <f t="shared" si="14"/>
        <v>0</v>
      </c>
      <c r="R94">
        <f t="shared" si="15"/>
        <v>3</v>
      </c>
      <c r="S94">
        <f t="shared" si="16"/>
        <v>2</v>
      </c>
      <c r="T94">
        <f t="shared" si="17"/>
        <v>4</v>
      </c>
      <c r="U94">
        <f t="shared" si="18"/>
        <v>4</v>
      </c>
      <c r="W94">
        <f t="shared" si="19"/>
        <v>9999.000699999995</v>
      </c>
      <c r="Y94">
        <f t="shared" si="22"/>
        <v>4.0003899999999852</v>
      </c>
      <c r="Z94">
        <f t="shared" si="23"/>
        <v>4.000079999999997</v>
      </c>
      <c r="AA94" t="str">
        <f t="shared" si="24"/>
        <v/>
      </c>
      <c r="AB94" t="str">
        <f t="shared" si="20"/>
        <v/>
      </c>
    </row>
    <row r="95" spans="1:28">
      <c r="A95">
        <f t="shared" si="25"/>
        <v>87</v>
      </c>
      <c r="B95">
        <f t="shared" si="26"/>
        <v>173</v>
      </c>
      <c r="C95" s="5"/>
      <c r="D95" s="6"/>
      <c r="E95" s="207"/>
      <c r="F95" s="207"/>
      <c r="I95" s="120" t="str">
        <f t="shared" si="27"/>
        <v/>
      </c>
      <c r="Q95">
        <f t="shared" si="14"/>
        <v>0</v>
      </c>
      <c r="R95">
        <f t="shared" si="15"/>
        <v>3</v>
      </c>
      <c r="S95">
        <f t="shared" si="16"/>
        <v>2</v>
      </c>
      <c r="T95">
        <f t="shared" si="17"/>
        <v>4</v>
      </c>
      <c r="U95">
        <f t="shared" si="18"/>
        <v>4</v>
      </c>
      <c r="W95">
        <f t="shared" si="19"/>
        <v>9999.0007999999943</v>
      </c>
      <c r="Y95">
        <f t="shared" si="22"/>
        <v>4.0003999999999849</v>
      </c>
      <c r="Z95">
        <f t="shared" si="23"/>
        <v>4.0000899999999966</v>
      </c>
      <c r="AA95" t="str">
        <f t="shared" si="24"/>
        <v/>
      </c>
      <c r="AB95" t="str">
        <f t="shared" si="20"/>
        <v/>
      </c>
    </row>
    <row r="96" spans="1:28">
      <c r="A96">
        <f t="shared" si="25"/>
        <v>88</v>
      </c>
      <c r="B96">
        <f t="shared" si="26"/>
        <v>175</v>
      </c>
      <c r="C96" s="5"/>
      <c r="D96" s="6"/>
      <c r="E96" s="207"/>
      <c r="F96" s="207"/>
      <c r="I96" s="120" t="str">
        <f t="shared" si="27"/>
        <v/>
      </c>
      <c r="Q96">
        <f t="shared" si="14"/>
        <v>0</v>
      </c>
      <c r="R96">
        <f t="shared" si="15"/>
        <v>3</v>
      </c>
      <c r="S96">
        <f t="shared" si="16"/>
        <v>2</v>
      </c>
      <c r="T96">
        <f t="shared" si="17"/>
        <v>4</v>
      </c>
      <c r="U96">
        <f t="shared" si="18"/>
        <v>4</v>
      </c>
      <c r="W96">
        <f t="shared" si="19"/>
        <v>9999.0008999999936</v>
      </c>
      <c r="Y96">
        <f t="shared" si="22"/>
        <v>4.0004099999999845</v>
      </c>
      <c r="Z96">
        <f t="shared" si="23"/>
        <v>4.0000999999999962</v>
      </c>
      <c r="AA96" t="str">
        <f t="shared" si="24"/>
        <v/>
      </c>
      <c r="AB96" t="str">
        <f t="shared" si="20"/>
        <v/>
      </c>
    </row>
    <row r="97" spans="1:28">
      <c r="A97">
        <f t="shared" si="25"/>
        <v>89</v>
      </c>
      <c r="B97">
        <f t="shared" si="26"/>
        <v>177</v>
      </c>
      <c r="C97" s="5"/>
      <c r="D97" s="6"/>
      <c r="E97" s="207"/>
      <c r="F97" s="207"/>
      <c r="I97" s="120" t="str">
        <f t="shared" si="27"/>
        <v/>
      </c>
      <c r="Q97">
        <f t="shared" si="14"/>
        <v>0</v>
      </c>
      <c r="R97">
        <f t="shared" si="15"/>
        <v>3</v>
      </c>
      <c r="S97">
        <f t="shared" si="16"/>
        <v>2</v>
      </c>
      <c r="T97">
        <f t="shared" si="17"/>
        <v>4</v>
      </c>
      <c r="U97">
        <f t="shared" si="18"/>
        <v>4</v>
      </c>
      <c r="W97">
        <f t="shared" si="19"/>
        <v>9999.0009999999929</v>
      </c>
      <c r="Y97">
        <f t="shared" si="22"/>
        <v>4.0004199999999841</v>
      </c>
      <c r="Z97">
        <f t="shared" si="23"/>
        <v>4.0001099999999958</v>
      </c>
      <c r="AA97" t="str">
        <f t="shared" si="24"/>
        <v/>
      </c>
      <c r="AB97" t="str">
        <f t="shared" si="20"/>
        <v/>
      </c>
    </row>
    <row r="98" spans="1:28">
      <c r="A98">
        <f t="shared" si="25"/>
        <v>90</v>
      </c>
      <c r="B98">
        <f t="shared" si="26"/>
        <v>179</v>
      </c>
      <c r="C98" s="5"/>
      <c r="D98" s="6"/>
      <c r="E98" s="207"/>
      <c r="F98" s="207"/>
      <c r="I98" s="120" t="str">
        <f t="shared" si="27"/>
        <v/>
      </c>
      <c r="Q98">
        <f t="shared" si="14"/>
        <v>0</v>
      </c>
      <c r="R98">
        <f t="shared" si="15"/>
        <v>3</v>
      </c>
      <c r="S98">
        <f t="shared" si="16"/>
        <v>2</v>
      </c>
      <c r="T98">
        <f t="shared" si="17"/>
        <v>4</v>
      </c>
      <c r="U98">
        <f t="shared" si="18"/>
        <v>4</v>
      </c>
      <c r="W98">
        <f t="shared" si="19"/>
        <v>9999.0010999999922</v>
      </c>
      <c r="Y98">
        <f t="shared" si="22"/>
        <v>4.0004299999999837</v>
      </c>
      <c r="Z98">
        <f t="shared" si="23"/>
        <v>4.0001199999999955</v>
      </c>
      <c r="AA98" t="str">
        <f t="shared" si="24"/>
        <v/>
      </c>
      <c r="AB98" t="str">
        <f t="shared" si="20"/>
        <v/>
      </c>
    </row>
    <row r="99" spans="1:28">
      <c r="A99">
        <f t="shared" si="25"/>
        <v>91</v>
      </c>
      <c r="B99">
        <f t="shared" si="26"/>
        <v>181</v>
      </c>
      <c r="C99" s="5"/>
      <c r="D99" s="6"/>
      <c r="E99" s="207"/>
      <c r="F99" s="207"/>
      <c r="I99" s="120" t="str">
        <f t="shared" si="27"/>
        <v/>
      </c>
      <c r="Q99">
        <f t="shared" si="14"/>
        <v>0</v>
      </c>
      <c r="R99">
        <f t="shared" si="15"/>
        <v>3</v>
      </c>
      <c r="S99">
        <f t="shared" si="16"/>
        <v>2</v>
      </c>
      <c r="T99">
        <f t="shared" si="17"/>
        <v>4</v>
      </c>
      <c r="U99">
        <f t="shared" si="18"/>
        <v>4</v>
      </c>
      <c r="W99">
        <f t="shared" si="19"/>
        <v>9999.0011999999915</v>
      </c>
      <c r="Y99">
        <f t="shared" si="22"/>
        <v>4.0004399999999833</v>
      </c>
      <c r="Z99">
        <f t="shared" si="23"/>
        <v>4.0001299999999951</v>
      </c>
      <c r="AA99" t="str">
        <f t="shared" si="24"/>
        <v/>
      </c>
      <c r="AB99" t="str">
        <f t="shared" si="20"/>
        <v/>
      </c>
    </row>
    <row r="100" spans="1:28">
      <c r="A100">
        <f t="shared" si="25"/>
        <v>92</v>
      </c>
      <c r="B100">
        <f t="shared" si="26"/>
        <v>183</v>
      </c>
      <c r="C100" s="5"/>
      <c r="D100" s="6"/>
      <c r="E100" s="207"/>
      <c r="F100" s="207"/>
      <c r="I100" s="120" t="str">
        <f t="shared" si="27"/>
        <v/>
      </c>
      <c r="Q100">
        <f t="shared" si="14"/>
        <v>0</v>
      </c>
      <c r="R100">
        <f t="shared" si="15"/>
        <v>3</v>
      </c>
      <c r="S100">
        <f t="shared" si="16"/>
        <v>2</v>
      </c>
      <c r="T100">
        <f t="shared" si="17"/>
        <v>4</v>
      </c>
      <c r="U100">
        <f t="shared" si="18"/>
        <v>4</v>
      </c>
      <c r="W100">
        <f t="shared" si="19"/>
        <v>9999.0012999999908</v>
      </c>
      <c r="Y100">
        <f t="shared" si="22"/>
        <v>4.000449999999983</v>
      </c>
      <c r="Z100">
        <f t="shared" si="23"/>
        <v>4.0001399999999947</v>
      </c>
      <c r="AA100" t="str">
        <f t="shared" si="24"/>
        <v/>
      </c>
      <c r="AB100" t="str">
        <f t="shared" si="20"/>
        <v/>
      </c>
    </row>
    <row r="101" spans="1:28">
      <c r="A101">
        <f t="shared" si="25"/>
        <v>93</v>
      </c>
      <c r="B101">
        <f t="shared" si="26"/>
        <v>185</v>
      </c>
      <c r="C101" s="5"/>
      <c r="D101" s="6"/>
      <c r="E101" s="207"/>
      <c r="F101" s="207"/>
      <c r="I101" s="120" t="str">
        <f t="shared" si="27"/>
        <v/>
      </c>
      <c r="Q101">
        <f t="shared" si="14"/>
        <v>0</v>
      </c>
      <c r="R101">
        <f t="shared" si="15"/>
        <v>3</v>
      </c>
      <c r="S101">
        <f t="shared" si="16"/>
        <v>2</v>
      </c>
      <c r="T101">
        <f t="shared" si="17"/>
        <v>4</v>
      </c>
      <c r="U101">
        <f t="shared" si="18"/>
        <v>4</v>
      </c>
      <c r="W101">
        <f t="shared" si="19"/>
        <v>9999.0013999999901</v>
      </c>
      <c r="Y101">
        <f t="shared" si="22"/>
        <v>4.0004599999999826</v>
      </c>
      <c r="Z101">
        <f t="shared" si="23"/>
        <v>4.0001499999999943</v>
      </c>
      <c r="AA101" t="str">
        <f t="shared" si="24"/>
        <v/>
      </c>
      <c r="AB101" t="str">
        <f t="shared" si="20"/>
        <v/>
      </c>
    </row>
    <row r="102" spans="1:28">
      <c r="A102">
        <f t="shared" si="25"/>
        <v>94</v>
      </c>
      <c r="B102">
        <f t="shared" si="26"/>
        <v>187</v>
      </c>
      <c r="C102" s="5"/>
      <c r="D102" s="6"/>
      <c r="E102" s="207"/>
      <c r="F102" s="207"/>
      <c r="I102" s="120" t="str">
        <f t="shared" si="27"/>
        <v/>
      </c>
      <c r="Q102">
        <f t="shared" si="14"/>
        <v>0</v>
      </c>
      <c r="R102">
        <f t="shared" si="15"/>
        <v>3</v>
      </c>
      <c r="S102">
        <f t="shared" si="16"/>
        <v>2</v>
      </c>
      <c r="T102">
        <f t="shared" si="17"/>
        <v>4</v>
      </c>
      <c r="U102">
        <f t="shared" si="18"/>
        <v>4</v>
      </c>
      <c r="W102">
        <f t="shared" si="19"/>
        <v>9999.0014999999894</v>
      </c>
      <c r="Y102">
        <f t="shared" si="22"/>
        <v>4.0004699999999822</v>
      </c>
      <c r="Z102">
        <f t="shared" si="23"/>
        <v>4.0001599999999939</v>
      </c>
      <c r="AA102" t="str">
        <f t="shared" si="24"/>
        <v/>
      </c>
      <c r="AB102" t="str">
        <f t="shared" si="20"/>
        <v/>
      </c>
    </row>
    <row r="103" spans="1:28">
      <c r="A103">
        <f t="shared" si="25"/>
        <v>95</v>
      </c>
      <c r="B103">
        <f t="shared" si="26"/>
        <v>189</v>
      </c>
      <c r="C103" s="5"/>
      <c r="D103" s="6"/>
      <c r="E103" s="207"/>
      <c r="F103" s="207"/>
      <c r="I103" s="120" t="str">
        <f t="shared" si="27"/>
        <v/>
      </c>
      <c r="Q103">
        <f t="shared" si="14"/>
        <v>0</v>
      </c>
      <c r="R103">
        <f t="shared" si="15"/>
        <v>3</v>
      </c>
      <c r="S103">
        <f t="shared" si="16"/>
        <v>2</v>
      </c>
      <c r="T103">
        <f t="shared" si="17"/>
        <v>4</v>
      </c>
      <c r="U103">
        <f t="shared" si="18"/>
        <v>4</v>
      </c>
      <c r="W103">
        <f t="shared" si="19"/>
        <v>9999.0015999999887</v>
      </c>
      <c r="Y103">
        <f t="shared" si="22"/>
        <v>4.0004799999999818</v>
      </c>
      <c r="Z103">
        <f t="shared" si="23"/>
        <v>4.0001699999999936</v>
      </c>
      <c r="AA103" t="str">
        <f t="shared" si="24"/>
        <v/>
      </c>
      <c r="AB103" t="str">
        <f t="shared" si="20"/>
        <v/>
      </c>
    </row>
    <row r="104" spans="1:28">
      <c r="A104">
        <f t="shared" si="25"/>
        <v>96</v>
      </c>
      <c r="B104">
        <f t="shared" si="26"/>
        <v>191</v>
      </c>
      <c r="C104" s="5"/>
      <c r="D104" s="6"/>
      <c r="E104" s="207"/>
      <c r="F104" s="207"/>
      <c r="I104" s="120" t="str">
        <f t="shared" si="27"/>
        <v/>
      </c>
      <c r="Q104">
        <f t="shared" si="14"/>
        <v>0</v>
      </c>
      <c r="R104">
        <f t="shared" si="15"/>
        <v>3</v>
      </c>
      <c r="S104">
        <f t="shared" si="16"/>
        <v>2</v>
      </c>
      <c r="T104">
        <f t="shared" si="17"/>
        <v>4</v>
      </c>
      <c r="U104">
        <f t="shared" si="18"/>
        <v>4</v>
      </c>
      <c r="W104">
        <f t="shared" si="19"/>
        <v>9999.001699999988</v>
      </c>
      <c r="Y104">
        <f t="shared" si="22"/>
        <v>4.0004899999999814</v>
      </c>
      <c r="Z104">
        <f t="shared" si="23"/>
        <v>4.0001799999999932</v>
      </c>
      <c r="AA104" t="str">
        <f t="shared" si="24"/>
        <v/>
      </c>
      <c r="AB104" t="str">
        <f t="shared" si="20"/>
        <v/>
      </c>
    </row>
    <row r="105" spans="1:28">
      <c r="A105">
        <f t="shared" si="25"/>
        <v>97</v>
      </c>
      <c r="B105">
        <f t="shared" si="26"/>
        <v>193</v>
      </c>
      <c r="C105" s="5"/>
      <c r="D105" s="6"/>
      <c r="E105" s="207"/>
      <c r="F105" s="207"/>
      <c r="I105" s="120" t="str">
        <f t="shared" si="27"/>
        <v/>
      </c>
      <c r="Q105">
        <f t="shared" si="14"/>
        <v>0</v>
      </c>
      <c r="R105">
        <f t="shared" si="15"/>
        <v>3</v>
      </c>
      <c r="S105">
        <f t="shared" si="16"/>
        <v>2</v>
      </c>
      <c r="T105">
        <f t="shared" si="17"/>
        <v>4</v>
      </c>
      <c r="U105">
        <f t="shared" si="18"/>
        <v>4</v>
      </c>
      <c r="W105">
        <f t="shared" si="19"/>
        <v>9999.0017999999873</v>
      </c>
      <c r="Y105">
        <f t="shared" si="22"/>
        <v>4.0004999999999811</v>
      </c>
      <c r="Z105">
        <f t="shared" si="23"/>
        <v>4.0001899999999928</v>
      </c>
      <c r="AA105" t="str">
        <f t="shared" si="24"/>
        <v/>
      </c>
      <c r="AB105" t="str">
        <f t="shared" si="20"/>
        <v/>
      </c>
    </row>
    <row r="106" spans="1:28">
      <c r="A106">
        <f t="shared" si="25"/>
        <v>98</v>
      </c>
      <c r="B106">
        <f t="shared" si="26"/>
        <v>195</v>
      </c>
      <c r="C106" s="5"/>
      <c r="D106" s="6"/>
      <c r="E106" s="207"/>
      <c r="F106" s="207"/>
      <c r="I106" s="120" t="str">
        <f t="shared" si="27"/>
        <v/>
      </c>
      <c r="Q106">
        <f t="shared" si="14"/>
        <v>0</v>
      </c>
      <c r="R106">
        <f t="shared" si="15"/>
        <v>3</v>
      </c>
      <c r="S106">
        <f t="shared" si="16"/>
        <v>2</v>
      </c>
      <c r="T106">
        <f t="shared" si="17"/>
        <v>4</v>
      </c>
      <c r="U106">
        <f t="shared" si="18"/>
        <v>4</v>
      </c>
      <c r="W106">
        <f t="shared" si="19"/>
        <v>9999.0018999999866</v>
      </c>
      <c r="Y106">
        <f t="shared" si="22"/>
        <v>4.0005099999999807</v>
      </c>
      <c r="Z106">
        <f t="shared" si="23"/>
        <v>4.0001999999999924</v>
      </c>
      <c r="AA106" t="str">
        <f t="shared" si="24"/>
        <v/>
      </c>
      <c r="AB106" t="str">
        <f t="shared" si="20"/>
        <v/>
      </c>
    </row>
    <row r="107" spans="1:28">
      <c r="A107">
        <f t="shared" si="25"/>
        <v>99</v>
      </c>
      <c r="B107">
        <f t="shared" si="26"/>
        <v>197</v>
      </c>
      <c r="C107" s="5"/>
      <c r="D107" s="6"/>
      <c r="E107" s="207"/>
      <c r="F107" s="207"/>
      <c r="I107" s="120" t="str">
        <f t="shared" si="27"/>
        <v/>
      </c>
      <c r="Q107">
        <f t="shared" si="14"/>
        <v>0</v>
      </c>
      <c r="R107">
        <f t="shared" si="15"/>
        <v>3</v>
      </c>
      <c r="S107">
        <f t="shared" si="16"/>
        <v>2</v>
      </c>
      <c r="T107">
        <f t="shared" si="17"/>
        <v>4</v>
      </c>
      <c r="U107">
        <f t="shared" si="18"/>
        <v>4</v>
      </c>
      <c r="W107">
        <f t="shared" si="19"/>
        <v>9999.0019999999859</v>
      </c>
      <c r="Y107">
        <f t="shared" si="22"/>
        <v>4.0005199999999803</v>
      </c>
      <c r="Z107">
        <f t="shared" si="23"/>
        <v>4.000209999999992</v>
      </c>
      <c r="AA107" t="str">
        <f t="shared" si="24"/>
        <v/>
      </c>
      <c r="AB107" t="str">
        <f t="shared" si="20"/>
        <v/>
      </c>
    </row>
    <row r="108" spans="1:28">
      <c r="A108">
        <f t="shared" si="25"/>
        <v>100</v>
      </c>
      <c r="B108">
        <f t="shared" si="26"/>
        <v>199</v>
      </c>
      <c r="C108" s="5"/>
      <c r="D108" s="6"/>
      <c r="E108" s="207"/>
      <c r="F108" s="207"/>
      <c r="I108" s="120" t="str">
        <f t="shared" si="27"/>
        <v/>
      </c>
      <c r="Q108">
        <f t="shared" si="14"/>
        <v>0</v>
      </c>
      <c r="R108">
        <f t="shared" si="15"/>
        <v>3</v>
      </c>
      <c r="S108">
        <f t="shared" si="16"/>
        <v>2</v>
      </c>
      <c r="T108">
        <f t="shared" si="17"/>
        <v>4</v>
      </c>
      <c r="U108">
        <f t="shared" si="18"/>
        <v>4</v>
      </c>
      <c r="W108">
        <f t="shared" si="19"/>
        <v>9999.0020999999851</v>
      </c>
      <c r="Y108">
        <f t="shared" si="22"/>
        <v>4.0005299999999799</v>
      </c>
      <c r="Z108">
        <f t="shared" si="23"/>
        <v>4.0002199999999917</v>
      </c>
      <c r="AA108" t="str">
        <f t="shared" si="24"/>
        <v/>
      </c>
      <c r="AB108" t="str">
        <f t="shared" si="20"/>
        <v/>
      </c>
    </row>
    <row r="109" spans="1:28">
      <c r="A109">
        <f t="shared" si="25"/>
        <v>101</v>
      </c>
      <c r="B109">
        <f t="shared" si="26"/>
        <v>201</v>
      </c>
      <c r="C109" s="5"/>
      <c r="D109" s="6"/>
      <c r="E109" s="207"/>
      <c r="F109" s="207"/>
      <c r="I109" s="120" t="str">
        <f t="shared" si="27"/>
        <v/>
      </c>
      <c r="Q109">
        <f t="shared" si="14"/>
        <v>0</v>
      </c>
      <c r="R109">
        <f t="shared" si="15"/>
        <v>3</v>
      </c>
      <c r="S109">
        <f t="shared" si="16"/>
        <v>2</v>
      </c>
      <c r="T109">
        <f t="shared" si="17"/>
        <v>4</v>
      </c>
      <c r="U109">
        <f t="shared" si="18"/>
        <v>4</v>
      </c>
      <c r="W109">
        <f t="shared" si="19"/>
        <v>9999.0021999999844</v>
      </c>
      <c r="Y109">
        <f t="shared" si="22"/>
        <v>4.0005399999999796</v>
      </c>
      <c r="Z109">
        <f t="shared" si="23"/>
        <v>4.0002299999999913</v>
      </c>
      <c r="AA109" t="str">
        <f t="shared" si="24"/>
        <v/>
      </c>
      <c r="AB109" t="str">
        <f t="shared" si="20"/>
        <v/>
      </c>
    </row>
    <row r="110" spans="1:28">
      <c r="A110">
        <f t="shared" si="25"/>
        <v>102</v>
      </c>
      <c r="B110">
        <f t="shared" si="26"/>
        <v>203</v>
      </c>
      <c r="C110" s="5"/>
      <c r="D110" s="6"/>
      <c r="E110" s="207"/>
      <c r="F110" s="207"/>
      <c r="I110" s="120" t="str">
        <f t="shared" si="27"/>
        <v/>
      </c>
      <c r="Q110">
        <f t="shared" si="14"/>
        <v>0</v>
      </c>
      <c r="R110">
        <f t="shared" si="15"/>
        <v>3</v>
      </c>
      <c r="S110">
        <f t="shared" si="16"/>
        <v>2</v>
      </c>
      <c r="T110">
        <f t="shared" si="17"/>
        <v>4</v>
      </c>
      <c r="U110">
        <f t="shared" si="18"/>
        <v>4</v>
      </c>
      <c r="W110">
        <f t="shared" si="19"/>
        <v>9999.0022999999837</v>
      </c>
      <c r="Y110">
        <f t="shared" si="22"/>
        <v>4.0005499999999792</v>
      </c>
      <c r="Z110">
        <f t="shared" si="23"/>
        <v>4.0002399999999909</v>
      </c>
      <c r="AA110" t="str">
        <f t="shared" si="24"/>
        <v/>
      </c>
      <c r="AB110" t="str">
        <f>IF(U110-U109=0,"",D110)</f>
        <v/>
      </c>
    </row>
    <row r="111" spans="1:28">
      <c r="A111">
        <f t="shared" si="25"/>
        <v>103</v>
      </c>
      <c r="B111">
        <f t="shared" si="26"/>
        <v>205</v>
      </c>
      <c r="C111" s="5"/>
      <c r="D111" s="6"/>
      <c r="E111" s="207"/>
      <c r="F111" s="207"/>
      <c r="I111" s="120" t="str">
        <f t="shared" si="27"/>
        <v/>
      </c>
      <c r="Q111">
        <f t="shared" si="14"/>
        <v>0</v>
      </c>
      <c r="R111">
        <f t="shared" si="15"/>
        <v>3</v>
      </c>
      <c r="S111">
        <f t="shared" si="16"/>
        <v>2</v>
      </c>
      <c r="T111">
        <f t="shared" si="17"/>
        <v>4</v>
      </c>
      <c r="U111">
        <f t="shared" si="18"/>
        <v>4</v>
      </c>
      <c r="W111">
        <f t="shared" si="19"/>
        <v>9999.002399999983</v>
      </c>
      <c r="Y111">
        <f t="shared" si="22"/>
        <v>4.0005599999999788</v>
      </c>
      <c r="Z111">
        <f t="shared" si="23"/>
        <v>4.0002499999999905</v>
      </c>
      <c r="AA111" t="str">
        <f t="shared" si="24"/>
        <v/>
      </c>
      <c r="AB111" t="str">
        <f t="shared" ref="AB111:AB174" si="28">IF(U111-U110=0,"",D111)</f>
        <v/>
      </c>
    </row>
    <row r="112" spans="1:28">
      <c r="A112">
        <f t="shared" si="25"/>
        <v>104</v>
      </c>
      <c r="B112">
        <f t="shared" si="26"/>
        <v>207</v>
      </c>
      <c r="C112" s="5"/>
      <c r="D112" s="6"/>
      <c r="E112" s="207"/>
      <c r="F112" s="207"/>
      <c r="I112" s="120" t="str">
        <f t="shared" si="27"/>
        <v/>
      </c>
      <c r="Q112">
        <f t="shared" si="14"/>
        <v>0</v>
      </c>
      <c r="R112">
        <f t="shared" si="15"/>
        <v>3</v>
      </c>
      <c r="S112">
        <f t="shared" si="16"/>
        <v>2</v>
      </c>
      <c r="T112">
        <f t="shared" si="17"/>
        <v>4</v>
      </c>
      <c r="U112">
        <f t="shared" si="18"/>
        <v>4</v>
      </c>
      <c r="W112">
        <f t="shared" si="19"/>
        <v>9999.0024999999823</v>
      </c>
      <c r="Y112">
        <f t="shared" si="22"/>
        <v>4.0005699999999784</v>
      </c>
      <c r="Z112">
        <f t="shared" si="23"/>
        <v>4.0002599999999902</v>
      </c>
      <c r="AA112" t="str">
        <f t="shared" si="24"/>
        <v/>
      </c>
      <c r="AB112" t="str">
        <f t="shared" si="28"/>
        <v/>
      </c>
    </row>
    <row r="113" spans="1:28">
      <c r="A113">
        <f t="shared" si="25"/>
        <v>105</v>
      </c>
      <c r="B113">
        <f t="shared" si="26"/>
        <v>209</v>
      </c>
      <c r="C113" s="5"/>
      <c r="D113" s="6"/>
      <c r="E113" s="207"/>
      <c r="F113" s="207"/>
      <c r="I113" s="120" t="str">
        <f t="shared" si="27"/>
        <v/>
      </c>
      <c r="Q113">
        <f t="shared" si="14"/>
        <v>0</v>
      </c>
      <c r="R113">
        <f t="shared" si="15"/>
        <v>3</v>
      </c>
      <c r="S113">
        <f t="shared" si="16"/>
        <v>2</v>
      </c>
      <c r="T113">
        <f t="shared" si="17"/>
        <v>4</v>
      </c>
      <c r="U113">
        <f t="shared" si="18"/>
        <v>4</v>
      </c>
      <c r="W113">
        <f t="shared" si="19"/>
        <v>9999.0025999999816</v>
      </c>
      <c r="Y113">
        <f t="shared" si="22"/>
        <v>4.000579999999978</v>
      </c>
      <c r="Z113">
        <f t="shared" si="23"/>
        <v>4.0002699999999898</v>
      </c>
      <c r="AA113" t="str">
        <f t="shared" si="24"/>
        <v/>
      </c>
      <c r="AB113" t="str">
        <f t="shared" si="28"/>
        <v/>
      </c>
    </row>
    <row r="114" spans="1:28">
      <c r="A114">
        <f t="shared" si="25"/>
        <v>106</v>
      </c>
      <c r="B114">
        <f t="shared" si="26"/>
        <v>211</v>
      </c>
      <c r="C114" s="5"/>
      <c r="D114" s="6"/>
      <c r="E114" s="207"/>
      <c r="F114" s="207"/>
      <c r="I114" s="120" t="str">
        <f t="shared" si="27"/>
        <v/>
      </c>
      <c r="Q114">
        <f t="shared" si="14"/>
        <v>0</v>
      </c>
      <c r="R114">
        <f t="shared" si="15"/>
        <v>3</v>
      </c>
      <c r="S114">
        <f t="shared" si="16"/>
        <v>2</v>
      </c>
      <c r="T114">
        <f t="shared" si="17"/>
        <v>4</v>
      </c>
      <c r="U114">
        <f t="shared" si="18"/>
        <v>4</v>
      </c>
      <c r="W114">
        <f t="shared" si="19"/>
        <v>9999.0026999999809</v>
      </c>
      <c r="Y114">
        <f t="shared" si="22"/>
        <v>4.0005899999999777</v>
      </c>
      <c r="Z114">
        <f t="shared" si="23"/>
        <v>4.0002799999999894</v>
      </c>
      <c r="AA114" t="str">
        <f t="shared" si="24"/>
        <v/>
      </c>
      <c r="AB114" t="str">
        <f t="shared" si="28"/>
        <v/>
      </c>
    </row>
    <row r="115" spans="1:28">
      <c r="A115">
        <f t="shared" si="25"/>
        <v>107</v>
      </c>
      <c r="B115">
        <f t="shared" si="26"/>
        <v>213</v>
      </c>
      <c r="C115" s="5"/>
      <c r="D115" s="6"/>
      <c r="E115" s="207"/>
      <c r="F115" s="207"/>
      <c r="I115" s="120" t="str">
        <f t="shared" si="27"/>
        <v/>
      </c>
      <c r="Q115">
        <f t="shared" si="14"/>
        <v>0</v>
      </c>
      <c r="R115">
        <f t="shared" si="15"/>
        <v>3</v>
      </c>
      <c r="S115">
        <f t="shared" si="16"/>
        <v>2</v>
      </c>
      <c r="T115">
        <f t="shared" si="17"/>
        <v>4</v>
      </c>
      <c r="U115">
        <f t="shared" si="18"/>
        <v>4</v>
      </c>
      <c r="W115">
        <f t="shared" si="19"/>
        <v>9999.0027999999802</v>
      </c>
      <c r="Y115">
        <f t="shared" si="22"/>
        <v>4.0005999999999773</v>
      </c>
      <c r="Z115">
        <f t="shared" si="23"/>
        <v>4.000289999999989</v>
      </c>
      <c r="AA115" t="str">
        <f t="shared" si="24"/>
        <v/>
      </c>
      <c r="AB115" t="str">
        <f t="shared" si="28"/>
        <v/>
      </c>
    </row>
    <row r="116" spans="1:28">
      <c r="A116">
        <f t="shared" si="25"/>
        <v>108</v>
      </c>
      <c r="B116">
        <f t="shared" si="26"/>
        <v>215</v>
      </c>
      <c r="C116" s="5"/>
      <c r="D116" s="6"/>
      <c r="E116" s="207"/>
      <c r="F116" s="207"/>
      <c r="I116" s="120" t="str">
        <f t="shared" si="27"/>
        <v/>
      </c>
      <c r="Q116">
        <f t="shared" si="14"/>
        <v>0</v>
      </c>
      <c r="R116">
        <f t="shared" si="15"/>
        <v>3</v>
      </c>
      <c r="S116">
        <f t="shared" si="16"/>
        <v>2</v>
      </c>
      <c r="T116">
        <f t="shared" si="17"/>
        <v>4</v>
      </c>
      <c r="U116">
        <f t="shared" si="18"/>
        <v>4</v>
      </c>
      <c r="W116">
        <f t="shared" si="19"/>
        <v>9999.0028999999795</v>
      </c>
      <c r="Y116">
        <f t="shared" si="22"/>
        <v>4.0006099999999769</v>
      </c>
      <c r="Z116">
        <f t="shared" si="23"/>
        <v>4.0002999999999886</v>
      </c>
      <c r="AA116" t="str">
        <f t="shared" si="24"/>
        <v/>
      </c>
      <c r="AB116" t="str">
        <f t="shared" si="28"/>
        <v/>
      </c>
    </row>
    <row r="117" spans="1:28">
      <c r="A117">
        <f t="shared" si="25"/>
        <v>109</v>
      </c>
      <c r="B117">
        <f t="shared" si="26"/>
        <v>217</v>
      </c>
      <c r="C117" s="5"/>
      <c r="D117" s="6"/>
      <c r="E117" s="207"/>
      <c r="F117" s="207"/>
      <c r="I117" s="120" t="str">
        <f t="shared" si="27"/>
        <v/>
      </c>
      <c r="Q117">
        <f t="shared" si="14"/>
        <v>0</v>
      </c>
      <c r="R117">
        <f t="shared" si="15"/>
        <v>3</v>
      </c>
      <c r="S117">
        <f t="shared" si="16"/>
        <v>2</v>
      </c>
      <c r="T117">
        <f t="shared" si="17"/>
        <v>4</v>
      </c>
      <c r="U117">
        <f t="shared" si="18"/>
        <v>4</v>
      </c>
      <c r="W117">
        <f t="shared" si="19"/>
        <v>9999.0029999999788</v>
      </c>
      <c r="Y117">
        <f t="shared" si="22"/>
        <v>4.0006199999999765</v>
      </c>
      <c r="Z117">
        <f t="shared" si="23"/>
        <v>4.0003099999999883</v>
      </c>
      <c r="AA117" t="str">
        <f t="shared" si="24"/>
        <v/>
      </c>
      <c r="AB117" t="str">
        <f t="shared" si="28"/>
        <v/>
      </c>
    </row>
    <row r="118" spans="1:28">
      <c r="A118">
        <f t="shared" si="25"/>
        <v>110</v>
      </c>
      <c r="B118">
        <f t="shared" si="26"/>
        <v>219</v>
      </c>
      <c r="C118" s="5"/>
      <c r="D118" s="6"/>
      <c r="E118" s="207"/>
      <c r="F118" s="207"/>
      <c r="I118" s="120" t="str">
        <f t="shared" si="27"/>
        <v/>
      </c>
      <c r="Q118">
        <f t="shared" si="14"/>
        <v>0</v>
      </c>
      <c r="R118">
        <f t="shared" si="15"/>
        <v>3</v>
      </c>
      <c r="S118">
        <f t="shared" si="16"/>
        <v>2</v>
      </c>
      <c r="T118">
        <f t="shared" si="17"/>
        <v>4</v>
      </c>
      <c r="U118">
        <f t="shared" si="18"/>
        <v>4</v>
      </c>
      <c r="W118">
        <f t="shared" si="19"/>
        <v>9999.0030999999781</v>
      </c>
      <c r="Y118">
        <f t="shared" si="22"/>
        <v>4.0006299999999761</v>
      </c>
      <c r="Z118">
        <f t="shared" si="23"/>
        <v>4.0003199999999879</v>
      </c>
      <c r="AA118" t="str">
        <f t="shared" si="24"/>
        <v/>
      </c>
      <c r="AB118" t="str">
        <f t="shared" si="28"/>
        <v/>
      </c>
    </row>
    <row r="119" spans="1:28">
      <c r="A119">
        <f t="shared" si="25"/>
        <v>111</v>
      </c>
      <c r="B119">
        <f t="shared" si="26"/>
        <v>221</v>
      </c>
      <c r="C119" s="5"/>
      <c r="D119" s="6"/>
      <c r="E119" s="207"/>
      <c r="F119" s="207"/>
      <c r="I119" s="120" t="str">
        <f t="shared" si="27"/>
        <v/>
      </c>
      <c r="Q119">
        <f t="shared" si="14"/>
        <v>0</v>
      </c>
      <c r="R119">
        <f t="shared" si="15"/>
        <v>3</v>
      </c>
      <c r="S119">
        <f t="shared" si="16"/>
        <v>2</v>
      </c>
      <c r="T119">
        <f t="shared" si="17"/>
        <v>4</v>
      </c>
      <c r="U119">
        <f t="shared" si="18"/>
        <v>4</v>
      </c>
      <c r="W119">
        <f t="shared" si="19"/>
        <v>9999.0031999999774</v>
      </c>
      <c r="Y119">
        <f t="shared" si="22"/>
        <v>4.0006399999999758</v>
      </c>
      <c r="Z119">
        <f t="shared" si="23"/>
        <v>4.0003299999999875</v>
      </c>
      <c r="AA119" t="str">
        <f t="shared" si="24"/>
        <v/>
      </c>
      <c r="AB119" t="str">
        <f t="shared" si="28"/>
        <v/>
      </c>
    </row>
    <row r="120" spans="1:28">
      <c r="A120">
        <f t="shared" si="25"/>
        <v>112</v>
      </c>
      <c r="B120">
        <f t="shared" si="26"/>
        <v>223</v>
      </c>
      <c r="C120" s="5"/>
      <c r="D120" s="6"/>
      <c r="E120" s="207"/>
      <c r="F120" s="207"/>
      <c r="I120" s="120" t="str">
        <f t="shared" si="27"/>
        <v/>
      </c>
      <c r="Q120">
        <f t="shared" si="14"/>
        <v>0</v>
      </c>
      <c r="R120">
        <f t="shared" si="15"/>
        <v>3</v>
      </c>
      <c r="S120">
        <f t="shared" si="16"/>
        <v>2</v>
      </c>
      <c r="T120">
        <f t="shared" si="17"/>
        <v>4</v>
      </c>
      <c r="U120">
        <f t="shared" si="18"/>
        <v>4</v>
      </c>
      <c r="W120">
        <f t="shared" si="19"/>
        <v>9999.0032999999767</v>
      </c>
      <c r="Y120">
        <f t="shared" si="22"/>
        <v>4.0006499999999754</v>
      </c>
      <c r="Z120">
        <f t="shared" si="23"/>
        <v>4.0003399999999871</v>
      </c>
      <c r="AA120" t="str">
        <f t="shared" si="24"/>
        <v/>
      </c>
      <c r="AB120" t="str">
        <f t="shared" si="28"/>
        <v/>
      </c>
    </row>
    <row r="121" spans="1:28">
      <c r="A121">
        <f t="shared" si="25"/>
        <v>113</v>
      </c>
      <c r="B121">
        <f t="shared" si="26"/>
        <v>225</v>
      </c>
      <c r="C121" s="5"/>
      <c r="D121" s="6"/>
      <c r="E121" s="207"/>
      <c r="F121" s="207"/>
      <c r="I121" s="120" t="str">
        <f t="shared" si="27"/>
        <v/>
      </c>
      <c r="Q121">
        <f t="shared" si="14"/>
        <v>0</v>
      </c>
      <c r="R121">
        <f t="shared" si="15"/>
        <v>3</v>
      </c>
      <c r="S121">
        <f t="shared" si="16"/>
        <v>2</v>
      </c>
      <c r="T121">
        <f t="shared" si="17"/>
        <v>4</v>
      </c>
      <c r="U121">
        <f t="shared" si="18"/>
        <v>4</v>
      </c>
      <c r="W121">
        <f t="shared" si="19"/>
        <v>9999.003399999976</v>
      </c>
      <c r="Y121">
        <f t="shared" si="22"/>
        <v>4.000659999999975</v>
      </c>
      <c r="Z121">
        <f t="shared" si="23"/>
        <v>4.0003499999999867</v>
      </c>
      <c r="AA121" t="str">
        <f t="shared" si="24"/>
        <v/>
      </c>
      <c r="AB121" t="str">
        <f t="shared" si="28"/>
        <v/>
      </c>
    </row>
    <row r="122" spans="1:28">
      <c r="A122">
        <f t="shared" si="25"/>
        <v>114</v>
      </c>
      <c r="B122">
        <f t="shared" si="26"/>
        <v>227</v>
      </c>
      <c r="C122" s="198"/>
      <c r="D122" s="6"/>
      <c r="E122" s="207"/>
      <c r="F122" s="207"/>
      <c r="I122" s="120" t="str">
        <f t="shared" si="27"/>
        <v/>
      </c>
      <c r="Q122">
        <f t="shared" si="14"/>
        <v>0</v>
      </c>
      <c r="R122">
        <f t="shared" si="15"/>
        <v>3</v>
      </c>
      <c r="S122">
        <f t="shared" si="16"/>
        <v>2</v>
      </c>
      <c r="T122">
        <f t="shared" si="17"/>
        <v>4</v>
      </c>
      <c r="U122">
        <f t="shared" si="18"/>
        <v>4</v>
      </c>
      <c r="W122">
        <f t="shared" si="19"/>
        <v>9999.0034999999752</v>
      </c>
      <c r="Y122">
        <f t="shared" si="22"/>
        <v>4.0006699999999746</v>
      </c>
      <c r="Z122">
        <f t="shared" si="23"/>
        <v>4.0003599999999864</v>
      </c>
      <c r="AA122" t="str">
        <f t="shared" si="24"/>
        <v/>
      </c>
      <c r="AB122" t="str">
        <f t="shared" si="28"/>
        <v/>
      </c>
    </row>
    <row r="123" spans="1:28">
      <c r="A123">
        <f t="shared" si="25"/>
        <v>115</v>
      </c>
      <c r="B123">
        <f t="shared" si="26"/>
        <v>229</v>
      </c>
      <c r="C123" s="5"/>
      <c r="D123" s="6"/>
      <c r="E123" s="207"/>
      <c r="F123" s="207"/>
      <c r="I123" s="120" t="str">
        <f t="shared" si="27"/>
        <v/>
      </c>
      <c r="Q123">
        <f t="shared" si="14"/>
        <v>0</v>
      </c>
      <c r="R123">
        <f t="shared" si="15"/>
        <v>3</v>
      </c>
      <c r="S123">
        <f t="shared" si="16"/>
        <v>2</v>
      </c>
      <c r="T123">
        <f t="shared" si="17"/>
        <v>4</v>
      </c>
      <c r="U123">
        <f t="shared" si="18"/>
        <v>4</v>
      </c>
      <c r="W123">
        <f t="shared" si="19"/>
        <v>9999.0035999999745</v>
      </c>
      <c r="Y123">
        <f t="shared" si="22"/>
        <v>4.0006799999999743</v>
      </c>
      <c r="Z123">
        <f t="shared" si="23"/>
        <v>4.000369999999986</v>
      </c>
      <c r="AA123" t="str">
        <f t="shared" si="24"/>
        <v/>
      </c>
      <c r="AB123" t="str">
        <f t="shared" si="28"/>
        <v/>
      </c>
    </row>
    <row r="124" spans="1:28">
      <c r="A124">
        <f t="shared" si="25"/>
        <v>116</v>
      </c>
      <c r="B124">
        <f t="shared" si="26"/>
        <v>231</v>
      </c>
      <c r="C124" s="198"/>
      <c r="D124" s="6"/>
      <c r="E124" s="207"/>
      <c r="F124" s="207"/>
      <c r="I124" s="120" t="str">
        <f t="shared" si="27"/>
        <v/>
      </c>
      <c r="Q124">
        <f t="shared" si="14"/>
        <v>0</v>
      </c>
      <c r="R124">
        <f t="shared" si="15"/>
        <v>3</v>
      </c>
      <c r="S124">
        <f t="shared" si="16"/>
        <v>2</v>
      </c>
      <c r="T124">
        <f t="shared" si="17"/>
        <v>4</v>
      </c>
      <c r="U124">
        <f t="shared" si="18"/>
        <v>4</v>
      </c>
      <c r="W124">
        <f t="shared" si="19"/>
        <v>9999.0036999999738</v>
      </c>
      <c r="Y124">
        <f t="shared" si="22"/>
        <v>4.0006899999999739</v>
      </c>
      <c r="Z124">
        <f t="shared" si="23"/>
        <v>4.0003799999999856</v>
      </c>
      <c r="AA124" t="str">
        <f t="shared" si="24"/>
        <v/>
      </c>
      <c r="AB124" t="str">
        <f t="shared" si="28"/>
        <v/>
      </c>
    </row>
    <row r="125" spans="1:28">
      <c r="A125">
        <f t="shared" si="25"/>
        <v>117</v>
      </c>
      <c r="B125">
        <f t="shared" si="26"/>
        <v>233</v>
      </c>
      <c r="C125" s="5"/>
      <c r="D125" s="6"/>
      <c r="E125" s="207"/>
      <c r="F125" s="207"/>
      <c r="I125" s="120" t="str">
        <f t="shared" si="27"/>
        <v/>
      </c>
      <c r="Q125">
        <f t="shared" si="14"/>
        <v>0</v>
      </c>
      <c r="R125">
        <f t="shared" si="15"/>
        <v>3</v>
      </c>
      <c r="S125">
        <f t="shared" si="16"/>
        <v>2</v>
      </c>
      <c r="T125">
        <f t="shared" si="17"/>
        <v>4</v>
      </c>
      <c r="U125">
        <f t="shared" si="18"/>
        <v>4</v>
      </c>
      <c r="W125">
        <f t="shared" si="19"/>
        <v>9999.0037999999731</v>
      </c>
      <c r="Y125">
        <f t="shared" si="22"/>
        <v>4.0006999999999735</v>
      </c>
      <c r="Z125">
        <f t="shared" si="23"/>
        <v>4.0003899999999852</v>
      </c>
      <c r="AA125" t="str">
        <f t="shared" si="24"/>
        <v/>
      </c>
      <c r="AB125" t="str">
        <f t="shared" si="28"/>
        <v/>
      </c>
    </row>
    <row r="126" spans="1:28">
      <c r="A126">
        <f t="shared" si="25"/>
        <v>118</v>
      </c>
      <c r="B126">
        <f t="shared" si="26"/>
        <v>235</v>
      </c>
      <c r="C126" s="5"/>
      <c r="D126" s="6"/>
      <c r="E126" s="207"/>
      <c r="F126" s="207"/>
      <c r="I126" s="120" t="str">
        <f t="shared" si="27"/>
        <v/>
      </c>
      <c r="Q126">
        <f t="shared" si="14"/>
        <v>0</v>
      </c>
      <c r="R126">
        <f t="shared" si="15"/>
        <v>3</v>
      </c>
      <c r="S126">
        <f t="shared" si="16"/>
        <v>2</v>
      </c>
      <c r="T126">
        <f t="shared" si="17"/>
        <v>4</v>
      </c>
      <c r="U126">
        <f t="shared" si="18"/>
        <v>4</v>
      </c>
      <c r="W126">
        <f t="shared" si="19"/>
        <v>9999.0038999999724</v>
      </c>
      <c r="Y126">
        <f t="shared" si="22"/>
        <v>4.0007099999999731</v>
      </c>
      <c r="Z126">
        <f t="shared" si="23"/>
        <v>4.0003999999999849</v>
      </c>
      <c r="AA126" t="str">
        <f t="shared" si="24"/>
        <v/>
      </c>
      <c r="AB126" t="str">
        <f t="shared" si="28"/>
        <v/>
      </c>
    </row>
    <row r="127" spans="1:28">
      <c r="A127">
        <f t="shared" si="25"/>
        <v>119</v>
      </c>
      <c r="B127">
        <f t="shared" si="26"/>
        <v>237</v>
      </c>
      <c r="C127" s="5"/>
      <c r="D127" s="6"/>
      <c r="E127" s="207"/>
      <c r="F127" s="207"/>
      <c r="I127" s="120" t="str">
        <f t="shared" si="27"/>
        <v/>
      </c>
      <c r="Q127">
        <f t="shared" si="14"/>
        <v>0</v>
      </c>
      <c r="R127">
        <f t="shared" si="15"/>
        <v>3</v>
      </c>
      <c r="S127">
        <f t="shared" si="16"/>
        <v>2</v>
      </c>
      <c r="T127">
        <f t="shared" si="17"/>
        <v>4</v>
      </c>
      <c r="U127">
        <f t="shared" si="18"/>
        <v>4</v>
      </c>
      <c r="W127">
        <f t="shared" si="19"/>
        <v>9999.0039999999717</v>
      </c>
      <c r="Y127">
        <f t="shared" si="22"/>
        <v>4.0007199999999727</v>
      </c>
      <c r="Z127">
        <f t="shared" si="23"/>
        <v>4.0004099999999845</v>
      </c>
      <c r="AA127" t="str">
        <f t="shared" si="24"/>
        <v/>
      </c>
      <c r="AB127" t="str">
        <f t="shared" si="28"/>
        <v/>
      </c>
    </row>
    <row r="128" spans="1:28">
      <c r="A128">
        <f t="shared" si="25"/>
        <v>120</v>
      </c>
      <c r="B128">
        <f t="shared" si="26"/>
        <v>239</v>
      </c>
      <c r="C128" s="5"/>
      <c r="D128" s="6"/>
      <c r="E128" s="207"/>
      <c r="F128" s="207"/>
      <c r="I128" s="120" t="str">
        <f t="shared" si="27"/>
        <v/>
      </c>
      <c r="Q128">
        <f t="shared" si="14"/>
        <v>0</v>
      </c>
      <c r="R128">
        <f t="shared" si="15"/>
        <v>3</v>
      </c>
      <c r="S128">
        <f t="shared" si="16"/>
        <v>2</v>
      </c>
      <c r="T128">
        <f t="shared" si="17"/>
        <v>4</v>
      </c>
      <c r="U128">
        <f t="shared" si="18"/>
        <v>4</v>
      </c>
      <c r="W128">
        <f t="shared" si="19"/>
        <v>9999.004099999971</v>
      </c>
      <c r="Y128">
        <f t="shared" si="22"/>
        <v>4.0007299999999724</v>
      </c>
      <c r="Z128">
        <f t="shared" si="23"/>
        <v>4.0004199999999841</v>
      </c>
      <c r="AA128" t="str">
        <f t="shared" si="24"/>
        <v/>
      </c>
      <c r="AB128" t="str">
        <f t="shared" si="28"/>
        <v/>
      </c>
    </row>
    <row r="129" spans="1:28">
      <c r="A129">
        <f t="shared" si="25"/>
        <v>121</v>
      </c>
      <c r="B129">
        <f t="shared" si="26"/>
        <v>241</v>
      </c>
      <c r="C129" s="5"/>
      <c r="D129" s="6"/>
      <c r="E129" s="207"/>
      <c r="F129" s="207"/>
      <c r="I129" s="120" t="str">
        <f t="shared" si="27"/>
        <v/>
      </c>
      <c r="Q129">
        <f t="shared" si="14"/>
        <v>0</v>
      </c>
      <c r="R129">
        <f t="shared" si="15"/>
        <v>3</v>
      </c>
      <c r="S129">
        <f t="shared" si="16"/>
        <v>2</v>
      </c>
      <c r="T129">
        <f t="shared" si="17"/>
        <v>4</v>
      </c>
      <c r="U129">
        <f t="shared" si="18"/>
        <v>4</v>
      </c>
      <c r="W129">
        <f t="shared" si="19"/>
        <v>9999.0041999999703</v>
      </c>
      <c r="Y129">
        <f t="shared" si="22"/>
        <v>4.000739999999972</v>
      </c>
      <c r="Z129">
        <f t="shared" si="23"/>
        <v>4.0004299999999837</v>
      </c>
      <c r="AA129" t="str">
        <f t="shared" si="24"/>
        <v/>
      </c>
      <c r="AB129" t="str">
        <f t="shared" si="28"/>
        <v/>
      </c>
    </row>
    <row r="130" spans="1:28">
      <c r="A130">
        <f t="shared" si="25"/>
        <v>122</v>
      </c>
      <c r="B130">
        <f t="shared" si="26"/>
        <v>243</v>
      </c>
      <c r="C130" s="5"/>
      <c r="D130" s="6"/>
      <c r="E130" s="207"/>
      <c r="F130" s="207"/>
      <c r="I130" s="120" t="str">
        <f t="shared" si="27"/>
        <v/>
      </c>
      <c r="Q130">
        <f t="shared" si="14"/>
        <v>0</v>
      </c>
      <c r="R130">
        <f t="shared" si="15"/>
        <v>3</v>
      </c>
      <c r="S130">
        <f t="shared" si="16"/>
        <v>2</v>
      </c>
      <c r="T130">
        <f t="shared" si="17"/>
        <v>4</v>
      </c>
      <c r="U130">
        <f t="shared" si="18"/>
        <v>4</v>
      </c>
      <c r="W130">
        <f t="shared" si="19"/>
        <v>9999.0042999999696</v>
      </c>
      <c r="Y130">
        <f t="shared" si="22"/>
        <v>4.0007499999999716</v>
      </c>
      <c r="Z130">
        <f t="shared" si="23"/>
        <v>4.0004399999999833</v>
      </c>
      <c r="AA130" t="str">
        <f t="shared" si="24"/>
        <v/>
      </c>
      <c r="AB130" t="str">
        <f t="shared" si="28"/>
        <v/>
      </c>
    </row>
    <row r="131" spans="1:28">
      <c r="A131">
        <f t="shared" si="25"/>
        <v>123</v>
      </c>
      <c r="B131">
        <f t="shared" si="26"/>
        <v>245</v>
      </c>
      <c r="C131" s="5"/>
      <c r="D131" s="6"/>
      <c r="E131" s="207"/>
      <c r="F131" s="207"/>
      <c r="I131" s="120" t="str">
        <f t="shared" si="27"/>
        <v/>
      </c>
      <c r="Q131">
        <f t="shared" si="14"/>
        <v>0</v>
      </c>
      <c r="R131">
        <f t="shared" si="15"/>
        <v>3</v>
      </c>
      <c r="S131">
        <f t="shared" si="16"/>
        <v>2</v>
      </c>
      <c r="T131">
        <f t="shared" si="17"/>
        <v>4</v>
      </c>
      <c r="U131">
        <f t="shared" si="18"/>
        <v>4</v>
      </c>
      <c r="W131">
        <f t="shared" si="19"/>
        <v>9999.0043999999689</v>
      </c>
      <c r="Y131">
        <f t="shared" si="22"/>
        <v>4.0007599999999712</v>
      </c>
      <c r="Z131">
        <f t="shared" si="23"/>
        <v>4.000449999999983</v>
      </c>
      <c r="AA131" t="str">
        <f t="shared" si="24"/>
        <v/>
      </c>
      <c r="AB131" t="str">
        <f t="shared" si="28"/>
        <v/>
      </c>
    </row>
    <row r="132" spans="1:28">
      <c r="A132">
        <f t="shared" si="25"/>
        <v>124</v>
      </c>
      <c r="B132">
        <f t="shared" si="26"/>
        <v>247</v>
      </c>
      <c r="C132" s="5"/>
      <c r="D132" s="6"/>
      <c r="E132" s="207"/>
      <c r="F132" s="207"/>
      <c r="I132" s="120" t="str">
        <f t="shared" si="27"/>
        <v/>
      </c>
      <c r="Q132">
        <f t="shared" ref="Q132:Q195" si="29">E132</f>
        <v>0</v>
      </c>
      <c r="R132">
        <f t="shared" ref="R132:R195" si="30">IF(OR(AND(D132&lt;&gt;"",C133="",C134=$C$3),AND(D132&lt;&gt;"",C133=$C$3)),R131+1,R131)</f>
        <v>3</v>
      </c>
      <c r="S132">
        <f t="shared" ref="S132:S195" si="31">IF(OR(AND(D132&lt;&gt;"",C133="",C134=$C$4),AND(D132&lt;&gt;"",C133=$C$4)),S131+1,S131)</f>
        <v>2</v>
      </c>
      <c r="T132">
        <f t="shared" ref="T132:T195" si="32">IF(OR(AND(D132&lt;&gt;"",C133="",C134=$C$5),AND(D132&lt;&gt;"",C133=$C$5)),T131+1,T131)</f>
        <v>4</v>
      </c>
      <c r="U132">
        <f t="shared" ref="U132:U195" si="33">IF(OR(AND(D132&lt;&gt;"",C133="",C134=$C$6),AND(D132&lt;&gt;"",C133=$C$6)),U131+1,U131)</f>
        <v>4</v>
      </c>
      <c r="W132">
        <f t="shared" ref="W132:W195" si="34">IF(E132="",W131+0.0001,E132)</f>
        <v>9999.0044999999682</v>
      </c>
      <c r="Y132">
        <f t="shared" si="22"/>
        <v>4.0007699999999708</v>
      </c>
      <c r="Z132">
        <f t="shared" si="23"/>
        <v>4.0004599999999826</v>
      </c>
      <c r="AA132" t="str">
        <f t="shared" si="24"/>
        <v/>
      </c>
      <c r="AB132" t="str">
        <f t="shared" si="28"/>
        <v/>
      </c>
    </row>
    <row r="133" spans="1:28">
      <c r="A133">
        <f t="shared" si="25"/>
        <v>125</v>
      </c>
      <c r="B133">
        <f t="shared" si="26"/>
        <v>249</v>
      </c>
      <c r="C133" s="5"/>
      <c r="D133" s="6"/>
      <c r="E133" s="207"/>
      <c r="F133" s="207"/>
      <c r="I133" s="120" t="str">
        <f t="shared" si="27"/>
        <v/>
      </c>
      <c r="Q133">
        <f t="shared" si="29"/>
        <v>0</v>
      </c>
      <c r="R133">
        <f t="shared" si="30"/>
        <v>3</v>
      </c>
      <c r="S133">
        <f t="shared" si="31"/>
        <v>2</v>
      </c>
      <c r="T133">
        <f t="shared" si="32"/>
        <v>4</v>
      </c>
      <c r="U133">
        <f t="shared" si="33"/>
        <v>4</v>
      </c>
      <c r="W133">
        <f t="shared" si="34"/>
        <v>9999.0045999999675</v>
      </c>
      <c r="Y133">
        <f t="shared" si="22"/>
        <v>4.0007799999999705</v>
      </c>
      <c r="Z133">
        <f t="shared" si="23"/>
        <v>4.0004699999999822</v>
      </c>
      <c r="AA133" t="str">
        <f t="shared" si="24"/>
        <v/>
      </c>
      <c r="AB133" t="str">
        <f t="shared" si="28"/>
        <v/>
      </c>
    </row>
    <row r="134" spans="1:28">
      <c r="A134">
        <f t="shared" si="25"/>
        <v>126</v>
      </c>
      <c r="B134">
        <f t="shared" si="26"/>
        <v>251</v>
      </c>
      <c r="C134" s="5"/>
      <c r="D134" s="6"/>
      <c r="E134" s="207"/>
      <c r="F134" s="207"/>
      <c r="I134" s="120" t="str">
        <f t="shared" si="27"/>
        <v/>
      </c>
      <c r="Q134">
        <f t="shared" si="29"/>
        <v>0</v>
      </c>
      <c r="R134">
        <f t="shared" si="30"/>
        <v>3</v>
      </c>
      <c r="S134">
        <f t="shared" si="31"/>
        <v>2</v>
      </c>
      <c r="T134">
        <f t="shared" si="32"/>
        <v>4</v>
      </c>
      <c r="U134">
        <f t="shared" si="33"/>
        <v>4</v>
      </c>
      <c r="W134">
        <f t="shared" si="34"/>
        <v>9999.0046999999668</v>
      </c>
      <c r="Y134">
        <f t="shared" si="22"/>
        <v>4.0007899999999701</v>
      </c>
      <c r="Z134">
        <f t="shared" si="23"/>
        <v>4.0004799999999818</v>
      </c>
      <c r="AA134" t="str">
        <f t="shared" si="24"/>
        <v/>
      </c>
      <c r="AB134" t="str">
        <f t="shared" si="28"/>
        <v/>
      </c>
    </row>
    <row r="135" spans="1:28">
      <c r="A135">
        <f t="shared" si="25"/>
        <v>127</v>
      </c>
      <c r="B135">
        <f t="shared" si="26"/>
        <v>253</v>
      </c>
      <c r="C135" s="5"/>
      <c r="D135" s="6"/>
      <c r="E135" s="207"/>
      <c r="F135" s="207"/>
      <c r="I135" s="120" t="str">
        <f t="shared" si="27"/>
        <v/>
      </c>
      <c r="Q135">
        <f t="shared" si="29"/>
        <v>0</v>
      </c>
      <c r="R135">
        <f t="shared" si="30"/>
        <v>3</v>
      </c>
      <c r="S135">
        <f t="shared" si="31"/>
        <v>2</v>
      </c>
      <c r="T135">
        <f t="shared" si="32"/>
        <v>4</v>
      </c>
      <c r="U135">
        <f t="shared" si="33"/>
        <v>4</v>
      </c>
      <c r="W135">
        <f t="shared" si="34"/>
        <v>9999.0047999999661</v>
      </c>
      <c r="Y135">
        <f t="shared" si="22"/>
        <v>4.0007999999999697</v>
      </c>
      <c r="Z135">
        <f t="shared" si="23"/>
        <v>4.0004899999999814</v>
      </c>
      <c r="AA135" t="str">
        <f t="shared" si="24"/>
        <v/>
      </c>
      <c r="AB135" t="str">
        <f t="shared" si="28"/>
        <v/>
      </c>
    </row>
    <row r="136" spans="1:28">
      <c r="A136">
        <f t="shared" si="25"/>
        <v>128</v>
      </c>
      <c r="B136">
        <f t="shared" si="26"/>
        <v>255</v>
      </c>
      <c r="C136" s="5"/>
      <c r="D136" s="6"/>
      <c r="E136" s="207"/>
      <c r="F136" s="207"/>
      <c r="I136" s="120" t="str">
        <f t="shared" si="27"/>
        <v/>
      </c>
      <c r="Q136">
        <f t="shared" si="29"/>
        <v>0</v>
      </c>
      <c r="R136">
        <f t="shared" si="30"/>
        <v>3</v>
      </c>
      <c r="S136">
        <f t="shared" si="31"/>
        <v>2</v>
      </c>
      <c r="T136">
        <f t="shared" si="32"/>
        <v>4</v>
      </c>
      <c r="U136">
        <f t="shared" si="33"/>
        <v>4</v>
      </c>
      <c r="W136">
        <f t="shared" si="34"/>
        <v>9999.0048999999653</v>
      </c>
      <c r="Y136">
        <f t="shared" si="22"/>
        <v>4.0008099999999693</v>
      </c>
      <c r="Z136">
        <f t="shared" si="23"/>
        <v>4.0004999999999811</v>
      </c>
      <c r="AA136" t="str">
        <f t="shared" si="24"/>
        <v/>
      </c>
      <c r="AB136" t="str">
        <f t="shared" si="28"/>
        <v/>
      </c>
    </row>
    <row r="137" spans="1:28">
      <c r="A137">
        <f t="shared" si="25"/>
        <v>129</v>
      </c>
      <c r="B137">
        <f t="shared" si="26"/>
        <v>257</v>
      </c>
      <c r="C137" s="5"/>
      <c r="D137" s="6"/>
      <c r="E137" s="207"/>
      <c r="F137" s="207"/>
      <c r="I137" s="120" t="str">
        <f t="shared" si="27"/>
        <v/>
      </c>
      <c r="Q137">
        <f t="shared" si="29"/>
        <v>0</v>
      </c>
      <c r="R137">
        <f t="shared" si="30"/>
        <v>3</v>
      </c>
      <c r="S137">
        <f t="shared" si="31"/>
        <v>2</v>
      </c>
      <c r="T137">
        <f t="shared" si="32"/>
        <v>4</v>
      </c>
      <c r="U137">
        <f t="shared" si="33"/>
        <v>4</v>
      </c>
      <c r="W137">
        <f t="shared" si="34"/>
        <v>9999.0049999999646</v>
      </c>
      <c r="Y137">
        <f t="shared" si="22"/>
        <v>4.000819999999969</v>
      </c>
      <c r="Z137">
        <f t="shared" si="23"/>
        <v>4.0005099999999807</v>
      </c>
      <c r="AA137" t="str">
        <f t="shared" si="24"/>
        <v/>
      </c>
      <c r="AB137" t="str">
        <f t="shared" si="28"/>
        <v/>
      </c>
    </row>
    <row r="138" spans="1:28">
      <c r="A138">
        <f t="shared" si="25"/>
        <v>130</v>
      </c>
      <c r="B138">
        <f t="shared" si="26"/>
        <v>259</v>
      </c>
      <c r="C138" s="5"/>
      <c r="D138" s="6"/>
      <c r="E138" s="207"/>
      <c r="F138" s="207"/>
      <c r="I138" s="120" t="str">
        <f t="shared" si="27"/>
        <v/>
      </c>
      <c r="Q138">
        <f t="shared" si="29"/>
        <v>0</v>
      </c>
      <c r="R138">
        <f t="shared" si="30"/>
        <v>3</v>
      </c>
      <c r="S138">
        <f t="shared" si="31"/>
        <v>2</v>
      </c>
      <c r="T138">
        <f t="shared" si="32"/>
        <v>4</v>
      </c>
      <c r="U138">
        <f t="shared" si="33"/>
        <v>4</v>
      </c>
      <c r="W138">
        <f t="shared" si="34"/>
        <v>9999.0050999999639</v>
      </c>
      <c r="Y138">
        <f t="shared" ref="Y138:Y201" si="35">IF(T138-T137=0,Y137+0.00001,T138)</f>
        <v>4.0008299999999686</v>
      </c>
      <c r="Z138">
        <f t="shared" ref="Z138:Z201" si="36">IF(U138-U137=0,Z137+0.00001,U138)</f>
        <v>4.0005199999999803</v>
      </c>
      <c r="AA138" t="str">
        <f t="shared" ref="AA138:AA201" si="37">IF(T138-T137=0,"",D138)</f>
        <v/>
      </c>
      <c r="AB138" t="str">
        <f t="shared" si="28"/>
        <v/>
      </c>
    </row>
    <row r="139" spans="1:28">
      <c r="A139">
        <f t="shared" ref="A139:A202" si="38">A138+1</f>
        <v>131</v>
      </c>
      <c r="B139">
        <f t="shared" si="26"/>
        <v>261</v>
      </c>
      <c r="C139" s="5"/>
      <c r="D139" s="6"/>
      <c r="E139" s="207"/>
      <c r="F139" s="207"/>
      <c r="I139" s="120" t="str">
        <f t="shared" si="27"/>
        <v/>
      </c>
      <c r="Q139">
        <f t="shared" si="29"/>
        <v>0</v>
      </c>
      <c r="R139">
        <f t="shared" si="30"/>
        <v>3</v>
      </c>
      <c r="S139">
        <f t="shared" si="31"/>
        <v>2</v>
      </c>
      <c r="T139">
        <f t="shared" si="32"/>
        <v>4</v>
      </c>
      <c r="U139">
        <f t="shared" si="33"/>
        <v>4</v>
      </c>
      <c r="W139">
        <f t="shared" si="34"/>
        <v>9999.0051999999632</v>
      </c>
      <c r="Y139">
        <f t="shared" si="35"/>
        <v>4.0008399999999682</v>
      </c>
      <c r="Z139">
        <f t="shared" si="36"/>
        <v>4.0005299999999799</v>
      </c>
      <c r="AA139" t="str">
        <f t="shared" si="37"/>
        <v/>
      </c>
      <c r="AB139" t="str">
        <f t="shared" si="28"/>
        <v/>
      </c>
    </row>
    <row r="140" spans="1:28">
      <c r="A140">
        <f t="shared" si="38"/>
        <v>132</v>
      </c>
      <c r="B140">
        <f t="shared" si="26"/>
        <v>263</v>
      </c>
      <c r="C140" s="5"/>
      <c r="D140" s="6"/>
      <c r="E140" s="207"/>
      <c r="F140" s="207"/>
      <c r="I140" s="120" t="str">
        <f t="shared" si="27"/>
        <v/>
      </c>
      <c r="Q140">
        <f t="shared" si="29"/>
        <v>0</v>
      </c>
      <c r="R140">
        <f t="shared" si="30"/>
        <v>3</v>
      </c>
      <c r="S140">
        <f t="shared" si="31"/>
        <v>2</v>
      </c>
      <c r="T140">
        <f t="shared" si="32"/>
        <v>4</v>
      </c>
      <c r="U140">
        <f t="shared" si="33"/>
        <v>4</v>
      </c>
      <c r="W140">
        <f t="shared" si="34"/>
        <v>9999.0052999999625</v>
      </c>
      <c r="Y140">
        <f t="shared" si="35"/>
        <v>4.0008499999999678</v>
      </c>
      <c r="Z140">
        <f t="shared" si="36"/>
        <v>4.0005399999999796</v>
      </c>
      <c r="AA140" t="str">
        <f t="shared" si="37"/>
        <v/>
      </c>
      <c r="AB140" t="str">
        <f t="shared" si="28"/>
        <v/>
      </c>
    </row>
    <row r="141" spans="1:28">
      <c r="A141">
        <f t="shared" si="38"/>
        <v>133</v>
      </c>
      <c r="B141">
        <f t="shared" si="26"/>
        <v>265</v>
      </c>
      <c r="C141" s="5"/>
      <c r="D141" s="6"/>
      <c r="E141" s="207"/>
      <c r="F141" s="207"/>
      <c r="I141" s="120" t="str">
        <f t="shared" si="27"/>
        <v/>
      </c>
      <c r="Q141">
        <f t="shared" si="29"/>
        <v>0</v>
      </c>
      <c r="R141">
        <f t="shared" si="30"/>
        <v>3</v>
      </c>
      <c r="S141">
        <f t="shared" si="31"/>
        <v>2</v>
      </c>
      <c r="T141">
        <f t="shared" si="32"/>
        <v>4</v>
      </c>
      <c r="U141">
        <f t="shared" si="33"/>
        <v>4</v>
      </c>
      <c r="W141">
        <f t="shared" si="34"/>
        <v>9999.0053999999618</v>
      </c>
      <c r="Y141">
        <f t="shared" si="35"/>
        <v>4.0008599999999674</v>
      </c>
      <c r="Z141">
        <f t="shared" si="36"/>
        <v>4.0005499999999792</v>
      </c>
      <c r="AA141" t="str">
        <f t="shared" si="37"/>
        <v/>
      </c>
      <c r="AB141" t="str">
        <f t="shared" si="28"/>
        <v/>
      </c>
    </row>
    <row r="142" spans="1:28">
      <c r="A142">
        <f t="shared" si="38"/>
        <v>134</v>
      </c>
      <c r="B142">
        <f t="shared" si="26"/>
        <v>267</v>
      </c>
      <c r="C142" s="5"/>
      <c r="D142" s="6"/>
      <c r="E142" s="207"/>
      <c r="F142" s="207"/>
      <c r="I142" s="120" t="str">
        <f t="shared" si="27"/>
        <v/>
      </c>
      <c r="Q142">
        <f t="shared" si="29"/>
        <v>0</v>
      </c>
      <c r="R142">
        <f t="shared" si="30"/>
        <v>3</v>
      </c>
      <c r="S142">
        <f t="shared" si="31"/>
        <v>2</v>
      </c>
      <c r="T142">
        <f t="shared" si="32"/>
        <v>4</v>
      </c>
      <c r="U142">
        <f t="shared" si="33"/>
        <v>4</v>
      </c>
      <c r="W142">
        <f t="shared" si="34"/>
        <v>9999.0054999999611</v>
      </c>
      <c r="Y142">
        <f t="shared" si="35"/>
        <v>4.0008699999999671</v>
      </c>
      <c r="Z142">
        <f t="shared" si="36"/>
        <v>4.0005599999999788</v>
      </c>
      <c r="AA142" t="str">
        <f t="shared" si="37"/>
        <v/>
      </c>
      <c r="AB142" t="str">
        <f t="shared" si="28"/>
        <v/>
      </c>
    </row>
    <row r="143" spans="1:28">
      <c r="A143">
        <f t="shared" si="38"/>
        <v>135</v>
      </c>
      <c r="B143">
        <f t="shared" si="26"/>
        <v>269</v>
      </c>
      <c r="C143" s="5"/>
      <c r="D143" s="6"/>
      <c r="E143" s="207"/>
      <c r="F143" s="207"/>
      <c r="I143" s="120" t="str">
        <f t="shared" si="27"/>
        <v/>
      </c>
      <c r="Q143">
        <f t="shared" si="29"/>
        <v>0</v>
      </c>
      <c r="R143">
        <f t="shared" si="30"/>
        <v>3</v>
      </c>
      <c r="S143">
        <f t="shared" si="31"/>
        <v>2</v>
      </c>
      <c r="T143">
        <f t="shared" si="32"/>
        <v>4</v>
      </c>
      <c r="U143">
        <f t="shared" si="33"/>
        <v>4</v>
      </c>
      <c r="W143">
        <f t="shared" si="34"/>
        <v>9999.0055999999604</v>
      </c>
      <c r="Y143">
        <f t="shared" si="35"/>
        <v>4.0008799999999667</v>
      </c>
      <c r="Z143">
        <f t="shared" si="36"/>
        <v>4.0005699999999784</v>
      </c>
      <c r="AA143" t="str">
        <f t="shared" si="37"/>
        <v/>
      </c>
      <c r="AB143" t="str">
        <f t="shared" si="28"/>
        <v/>
      </c>
    </row>
    <row r="144" spans="1:28">
      <c r="A144">
        <f t="shared" si="38"/>
        <v>136</v>
      </c>
      <c r="B144">
        <f t="shared" si="26"/>
        <v>271</v>
      </c>
      <c r="C144" s="5"/>
      <c r="D144" s="6"/>
      <c r="E144" s="207"/>
      <c r="F144" s="207"/>
      <c r="I144" s="120" t="str">
        <f t="shared" ref="I144:I207" si="39">IF(AND(AND(C144="",D144="",E144="",F144=""),OR(C145&lt;&gt;"",D145&lt;&gt;"")),"Bitte diese Zeile nicht leer lassen",IF(AND(D144&lt;&gt;"",OR(C144&lt;&gt;"",E144&lt;&gt;"",F144&lt;&gt;"")),"Bitte Zeile nur als Titelzeile (Spalte D) oder als Kontozeile (andere Spalten) verwenden",IF(E144="","",IF(AND(E144&lt;&gt;"",F144&lt;&gt;"",C144=""),"Bitte gültige Kontokategorie (s. oben) zuweisen",IF(OR(E144&lt;=E143,E144&lt;=E142),"Kontonummern müssen aufsteigend eingegeben werden.",IF(OR(E144&lt;1000,E144&gt;9999),CONCATENATE(E144," auf Spalte F ist keine vierstellige Kontonummer"),IF(OR(C144=C$3,C144=C$4,C144=C$5,C144=C$6),"","Bitte gültige Kontokategorie eingeben")))))))</f>
        <v/>
      </c>
      <c r="Q144">
        <f t="shared" si="29"/>
        <v>0</v>
      </c>
      <c r="R144">
        <f t="shared" si="30"/>
        <v>3</v>
      </c>
      <c r="S144">
        <f t="shared" si="31"/>
        <v>2</v>
      </c>
      <c r="T144">
        <f t="shared" si="32"/>
        <v>4</v>
      </c>
      <c r="U144">
        <f t="shared" si="33"/>
        <v>4</v>
      </c>
      <c r="W144">
        <f t="shared" si="34"/>
        <v>9999.0056999999597</v>
      </c>
      <c r="Y144">
        <f t="shared" si="35"/>
        <v>4.0008899999999663</v>
      </c>
      <c r="Z144">
        <f t="shared" si="36"/>
        <v>4.000579999999978</v>
      </c>
      <c r="AA144" t="str">
        <f t="shared" si="37"/>
        <v/>
      </c>
      <c r="AB144" t="str">
        <f t="shared" si="28"/>
        <v/>
      </c>
    </row>
    <row r="145" spans="1:28">
      <c r="A145">
        <f t="shared" si="38"/>
        <v>137</v>
      </c>
      <c r="B145">
        <f t="shared" si="26"/>
        <v>273</v>
      </c>
      <c r="C145" s="5"/>
      <c r="D145" s="6"/>
      <c r="E145" s="207"/>
      <c r="F145" s="207"/>
      <c r="I145" s="120" t="str">
        <f t="shared" si="39"/>
        <v/>
      </c>
      <c r="Q145">
        <f t="shared" si="29"/>
        <v>0</v>
      </c>
      <c r="R145">
        <f t="shared" si="30"/>
        <v>3</v>
      </c>
      <c r="S145">
        <f t="shared" si="31"/>
        <v>2</v>
      </c>
      <c r="T145">
        <f t="shared" si="32"/>
        <v>4</v>
      </c>
      <c r="U145">
        <f t="shared" si="33"/>
        <v>4</v>
      </c>
      <c r="W145">
        <f t="shared" si="34"/>
        <v>9999.005799999959</v>
      </c>
      <c r="Y145">
        <f t="shared" si="35"/>
        <v>4.0008999999999659</v>
      </c>
      <c r="Z145">
        <f t="shared" si="36"/>
        <v>4.0005899999999777</v>
      </c>
      <c r="AA145" t="str">
        <f t="shared" si="37"/>
        <v/>
      </c>
      <c r="AB145" t="str">
        <f t="shared" si="28"/>
        <v/>
      </c>
    </row>
    <row r="146" spans="1:28">
      <c r="A146">
        <f t="shared" si="38"/>
        <v>138</v>
      </c>
      <c r="B146">
        <f t="shared" si="26"/>
        <v>275</v>
      </c>
      <c r="C146" s="5"/>
      <c r="D146" s="6"/>
      <c r="E146" s="207"/>
      <c r="F146" s="207"/>
      <c r="I146" s="120" t="str">
        <f t="shared" si="39"/>
        <v/>
      </c>
      <c r="Q146">
        <f t="shared" si="29"/>
        <v>0</v>
      </c>
      <c r="R146">
        <f t="shared" si="30"/>
        <v>3</v>
      </c>
      <c r="S146">
        <f t="shared" si="31"/>
        <v>2</v>
      </c>
      <c r="T146">
        <f t="shared" si="32"/>
        <v>4</v>
      </c>
      <c r="U146">
        <f t="shared" si="33"/>
        <v>4</v>
      </c>
      <c r="W146">
        <f t="shared" si="34"/>
        <v>9999.0058999999583</v>
      </c>
      <c r="Y146">
        <f t="shared" si="35"/>
        <v>4.0009099999999655</v>
      </c>
      <c r="Z146">
        <f t="shared" si="36"/>
        <v>4.0005999999999773</v>
      </c>
      <c r="AA146" t="str">
        <f t="shared" si="37"/>
        <v/>
      </c>
      <c r="AB146" t="str">
        <f t="shared" si="28"/>
        <v/>
      </c>
    </row>
    <row r="147" spans="1:28">
      <c r="A147">
        <f t="shared" si="38"/>
        <v>139</v>
      </c>
      <c r="B147">
        <f t="shared" si="26"/>
        <v>277</v>
      </c>
      <c r="C147" s="5"/>
      <c r="D147" s="6"/>
      <c r="E147" s="207"/>
      <c r="F147" s="207"/>
      <c r="I147" s="120" t="str">
        <f t="shared" si="39"/>
        <v/>
      </c>
      <c r="Q147">
        <f t="shared" si="29"/>
        <v>0</v>
      </c>
      <c r="R147">
        <f t="shared" si="30"/>
        <v>3</v>
      </c>
      <c r="S147">
        <f t="shared" si="31"/>
        <v>2</v>
      </c>
      <c r="T147">
        <f t="shared" si="32"/>
        <v>4</v>
      </c>
      <c r="U147">
        <f t="shared" si="33"/>
        <v>4</v>
      </c>
      <c r="W147">
        <f t="shared" si="34"/>
        <v>9999.0059999999576</v>
      </c>
      <c r="Y147">
        <f t="shared" si="35"/>
        <v>4.0009199999999652</v>
      </c>
      <c r="Z147">
        <f t="shared" si="36"/>
        <v>4.0006099999999769</v>
      </c>
      <c r="AA147" t="str">
        <f t="shared" si="37"/>
        <v/>
      </c>
      <c r="AB147" t="str">
        <f t="shared" si="28"/>
        <v/>
      </c>
    </row>
    <row r="148" spans="1:28">
      <c r="A148">
        <f t="shared" si="38"/>
        <v>140</v>
      </c>
      <c r="B148">
        <f t="shared" si="26"/>
        <v>279</v>
      </c>
      <c r="C148" s="5"/>
      <c r="D148" s="6"/>
      <c r="E148" s="207"/>
      <c r="F148" s="207"/>
      <c r="I148" s="120" t="str">
        <f t="shared" si="39"/>
        <v/>
      </c>
      <c r="Q148">
        <f t="shared" si="29"/>
        <v>0</v>
      </c>
      <c r="R148">
        <f t="shared" si="30"/>
        <v>3</v>
      </c>
      <c r="S148">
        <f t="shared" si="31"/>
        <v>2</v>
      </c>
      <c r="T148">
        <f t="shared" si="32"/>
        <v>4</v>
      </c>
      <c r="U148">
        <f t="shared" si="33"/>
        <v>4</v>
      </c>
      <c r="W148">
        <f t="shared" si="34"/>
        <v>9999.0060999999569</v>
      </c>
      <c r="Y148">
        <f t="shared" si="35"/>
        <v>4.0009299999999648</v>
      </c>
      <c r="Z148">
        <f t="shared" si="36"/>
        <v>4.0006199999999765</v>
      </c>
      <c r="AA148" t="str">
        <f t="shared" si="37"/>
        <v/>
      </c>
      <c r="AB148" t="str">
        <f t="shared" si="28"/>
        <v/>
      </c>
    </row>
    <row r="149" spans="1:28">
      <c r="A149">
        <f t="shared" si="38"/>
        <v>141</v>
      </c>
      <c r="B149">
        <f t="shared" si="26"/>
        <v>281</v>
      </c>
      <c r="C149" s="5"/>
      <c r="D149" s="6"/>
      <c r="E149" s="207"/>
      <c r="F149" s="207"/>
      <c r="I149" s="120" t="str">
        <f t="shared" si="39"/>
        <v/>
      </c>
      <c r="Q149">
        <f t="shared" si="29"/>
        <v>0</v>
      </c>
      <c r="R149">
        <f t="shared" si="30"/>
        <v>3</v>
      </c>
      <c r="S149">
        <f t="shared" si="31"/>
        <v>2</v>
      </c>
      <c r="T149">
        <f t="shared" si="32"/>
        <v>4</v>
      </c>
      <c r="U149">
        <f t="shared" si="33"/>
        <v>4</v>
      </c>
      <c r="W149">
        <f t="shared" si="34"/>
        <v>9999.0061999999562</v>
      </c>
      <c r="Y149">
        <f t="shared" si="35"/>
        <v>4.0009399999999644</v>
      </c>
      <c r="Z149">
        <f t="shared" si="36"/>
        <v>4.0006299999999761</v>
      </c>
      <c r="AA149" t="str">
        <f t="shared" si="37"/>
        <v/>
      </c>
      <c r="AB149" t="str">
        <f t="shared" si="28"/>
        <v/>
      </c>
    </row>
    <row r="150" spans="1:28">
      <c r="A150">
        <f t="shared" si="38"/>
        <v>142</v>
      </c>
      <c r="B150">
        <f t="shared" si="26"/>
        <v>283</v>
      </c>
      <c r="C150" s="5"/>
      <c r="D150" s="6"/>
      <c r="E150" s="207"/>
      <c r="F150" s="207"/>
      <c r="I150" s="120" t="str">
        <f t="shared" si="39"/>
        <v/>
      </c>
      <c r="Q150">
        <f t="shared" si="29"/>
        <v>0</v>
      </c>
      <c r="R150">
        <f t="shared" si="30"/>
        <v>3</v>
      </c>
      <c r="S150">
        <f t="shared" si="31"/>
        <v>2</v>
      </c>
      <c r="T150">
        <f t="shared" si="32"/>
        <v>4</v>
      </c>
      <c r="U150">
        <f t="shared" si="33"/>
        <v>4</v>
      </c>
      <c r="W150">
        <f t="shared" si="34"/>
        <v>9999.0062999999554</v>
      </c>
      <c r="Y150">
        <f t="shared" si="35"/>
        <v>4.000949999999964</v>
      </c>
      <c r="Z150">
        <f t="shared" si="36"/>
        <v>4.0006399999999758</v>
      </c>
      <c r="AA150" t="str">
        <f t="shared" si="37"/>
        <v/>
      </c>
      <c r="AB150" t="str">
        <f t="shared" si="28"/>
        <v/>
      </c>
    </row>
    <row r="151" spans="1:28">
      <c r="A151">
        <f t="shared" si="38"/>
        <v>143</v>
      </c>
      <c r="B151">
        <f t="shared" si="26"/>
        <v>285</v>
      </c>
      <c r="C151" s="5"/>
      <c r="D151" s="6"/>
      <c r="E151" s="207"/>
      <c r="F151" s="207"/>
      <c r="I151" s="120" t="str">
        <f t="shared" si="39"/>
        <v/>
      </c>
      <c r="Q151">
        <f t="shared" si="29"/>
        <v>0</v>
      </c>
      <c r="R151">
        <f t="shared" si="30"/>
        <v>3</v>
      </c>
      <c r="S151">
        <f t="shared" si="31"/>
        <v>2</v>
      </c>
      <c r="T151">
        <f t="shared" si="32"/>
        <v>4</v>
      </c>
      <c r="U151">
        <f t="shared" si="33"/>
        <v>4</v>
      </c>
      <c r="W151">
        <f t="shared" si="34"/>
        <v>9999.0063999999547</v>
      </c>
      <c r="Y151">
        <f t="shared" si="35"/>
        <v>4.0009599999999637</v>
      </c>
      <c r="Z151">
        <f t="shared" si="36"/>
        <v>4.0006499999999754</v>
      </c>
      <c r="AA151" t="str">
        <f t="shared" si="37"/>
        <v/>
      </c>
      <c r="AB151" t="str">
        <f t="shared" si="28"/>
        <v/>
      </c>
    </row>
    <row r="152" spans="1:28">
      <c r="A152">
        <f t="shared" si="38"/>
        <v>144</v>
      </c>
      <c r="B152">
        <f t="shared" si="26"/>
        <v>287</v>
      </c>
      <c r="C152" s="5"/>
      <c r="D152" s="6"/>
      <c r="E152" s="207"/>
      <c r="F152" s="207"/>
      <c r="I152" s="120" t="str">
        <f t="shared" si="39"/>
        <v/>
      </c>
      <c r="Q152">
        <f t="shared" si="29"/>
        <v>0</v>
      </c>
      <c r="R152">
        <f t="shared" si="30"/>
        <v>3</v>
      </c>
      <c r="S152">
        <f t="shared" si="31"/>
        <v>2</v>
      </c>
      <c r="T152">
        <f t="shared" si="32"/>
        <v>4</v>
      </c>
      <c r="U152">
        <f t="shared" si="33"/>
        <v>4</v>
      </c>
      <c r="W152">
        <f t="shared" si="34"/>
        <v>9999.006499999954</v>
      </c>
      <c r="Y152">
        <f t="shared" si="35"/>
        <v>4.0009699999999633</v>
      </c>
      <c r="Z152">
        <f t="shared" si="36"/>
        <v>4.000659999999975</v>
      </c>
      <c r="AA152" t="str">
        <f t="shared" si="37"/>
        <v/>
      </c>
      <c r="AB152" t="str">
        <f t="shared" si="28"/>
        <v/>
      </c>
    </row>
    <row r="153" spans="1:28">
      <c r="A153">
        <f t="shared" si="38"/>
        <v>145</v>
      </c>
      <c r="B153">
        <f t="shared" si="26"/>
        <v>289</v>
      </c>
      <c r="C153" s="5"/>
      <c r="D153" s="6"/>
      <c r="E153" s="207"/>
      <c r="F153" s="207"/>
      <c r="I153" s="120" t="str">
        <f t="shared" si="39"/>
        <v/>
      </c>
      <c r="Q153">
        <f t="shared" si="29"/>
        <v>0</v>
      </c>
      <c r="R153">
        <f t="shared" si="30"/>
        <v>3</v>
      </c>
      <c r="S153">
        <f t="shared" si="31"/>
        <v>2</v>
      </c>
      <c r="T153">
        <f t="shared" si="32"/>
        <v>4</v>
      </c>
      <c r="U153">
        <f t="shared" si="33"/>
        <v>4</v>
      </c>
      <c r="W153">
        <f t="shared" si="34"/>
        <v>9999.0065999999533</v>
      </c>
      <c r="Y153">
        <f t="shared" si="35"/>
        <v>4.0009799999999629</v>
      </c>
      <c r="Z153">
        <f t="shared" si="36"/>
        <v>4.0006699999999746</v>
      </c>
      <c r="AA153" t="str">
        <f t="shared" si="37"/>
        <v/>
      </c>
      <c r="AB153" t="str">
        <f t="shared" si="28"/>
        <v/>
      </c>
    </row>
    <row r="154" spans="1:28">
      <c r="A154">
        <f t="shared" si="38"/>
        <v>146</v>
      </c>
      <c r="B154">
        <f t="shared" si="26"/>
        <v>291</v>
      </c>
      <c r="C154" s="5"/>
      <c r="D154" s="6"/>
      <c r="E154" s="207"/>
      <c r="F154" s="207"/>
      <c r="I154" s="120" t="str">
        <f t="shared" si="39"/>
        <v/>
      </c>
      <c r="Q154">
        <f t="shared" si="29"/>
        <v>0</v>
      </c>
      <c r="R154">
        <f t="shared" si="30"/>
        <v>3</v>
      </c>
      <c r="S154">
        <f t="shared" si="31"/>
        <v>2</v>
      </c>
      <c r="T154">
        <f t="shared" si="32"/>
        <v>4</v>
      </c>
      <c r="U154">
        <f t="shared" si="33"/>
        <v>4</v>
      </c>
      <c r="W154">
        <f t="shared" si="34"/>
        <v>9999.0066999999526</v>
      </c>
      <c r="Y154">
        <f t="shared" si="35"/>
        <v>4.0009899999999625</v>
      </c>
      <c r="Z154">
        <f t="shared" si="36"/>
        <v>4.0006799999999743</v>
      </c>
      <c r="AA154" t="str">
        <f t="shared" si="37"/>
        <v/>
      </c>
      <c r="AB154" t="str">
        <f t="shared" si="28"/>
        <v/>
      </c>
    </row>
    <row r="155" spans="1:28">
      <c r="A155">
        <f t="shared" si="38"/>
        <v>147</v>
      </c>
      <c r="B155">
        <f t="shared" si="26"/>
        <v>293</v>
      </c>
      <c r="C155" s="5"/>
      <c r="D155" s="6"/>
      <c r="E155" s="207"/>
      <c r="F155" s="207"/>
      <c r="I155" s="120" t="str">
        <f t="shared" si="39"/>
        <v/>
      </c>
      <c r="Q155">
        <f t="shared" si="29"/>
        <v>0</v>
      </c>
      <c r="R155">
        <f t="shared" si="30"/>
        <v>3</v>
      </c>
      <c r="S155">
        <f t="shared" si="31"/>
        <v>2</v>
      </c>
      <c r="T155">
        <f t="shared" si="32"/>
        <v>4</v>
      </c>
      <c r="U155">
        <f t="shared" si="33"/>
        <v>4</v>
      </c>
      <c r="W155">
        <f t="shared" si="34"/>
        <v>9999.0067999999519</v>
      </c>
      <c r="Y155">
        <f t="shared" si="35"/>
        <v>4.0009999999999621</v>
      </c>
      <c r="Z155">
        <f t="shared" si="36"/>
        <v>4.0006899999999739</v>
      </c>
      <c r="AA155" t="str">
        <f t="shared" si="37"/>
        <v/>
      </c>
      <c r="AB155" t="str">
        <f t="shared" si="28"/>
        <v/>
      </c>
    </row>
    <row r="156" spans="1:28">
      <c r="A156">
        <f t="shared" si="38"/>
        <v>148</v>
      </c>
      <c r="B156">
        <f t="shared" si="26"/>
        <v>295</v>
      </c>
      <c r="C156" s="5"/>
      <c r="D156" s="6"/>
      <c r="E156" s="207"/>
      <c r="F156" s="207"/>
      <c r="I156" s="120" t="str">
        <f t="shared" si="39"/>
        <v/>
      </c>
      <c r="Q156">
        <f t="shared" si="29"/>
        <v>0</v>
      </c>
      <c r="R156">
        <f t="shared" si="30"/>
        <v>3</v>
      </c>
      <c r="S156">
        <f t="shared" si="31"/>
        <v>2</v>
      </c>
      <c r="T156">
        <f t="shared" si="32"/>
        <v>4</v>
      </c>
      <c r="U156">
        <f t="shared" si="33"/>
        <v>4</v>
      </c>
      <c r="W156">
        <f t="shared" si="34"/>
        <v>9999.0068999999512</v>
      </c>
      <c r="Y156">
        <f t="shared" si="35"/>
        <v>4.0010099999999618</v>
      </c>
      <c r="Z156">
        <f t="shared" si="36"/>
        <v>4.0006999999999735</v>
      </c>
      <c r="AA156" t="str">
        <f t="shared" si="37"/>
        <v/>
      </c>
      <c r="AB156" t="str">
        <f t="shared" si="28"/>
        <v/>
      </c>
    </row>
    <row r="157" spans="1:28">
      <c r="A157">
        <f t="shared" si="38"/>
        <v>149</v>
      </c>
      <c r="B157">
        <f t="shared" si="26"/>
        <v>297</v>
      </c>
      <c r="C157" s="5"/>
      <c r="D157" s="6"/>
      <c r="E157" s="207"/>
      <c r="F157" s="207"/>
      <c r="I157" s="120" t="str">
        <f t="shared" si="39"/>
        <v/>
      </c>
      <c r="Q157">
        <f t="shared" si="29"/>
        <v>0</v>
      </c>
      <c r="R157">
        <f t="shared" si="30"/>
        <v>3</v>
      </c>
      <c r="S157">
        <f t="shared" si="31"/>
        <v>2</v>
      </c>
      <c r="T157">
        <f t="shared" si="32"/>
        <v>4</v>
      </c>
      <c r="U157">
        <f t="shared" si="33"/>
        <v>4</v>
      </c>
      <c r="W157">
        <f t="shared" si="34"/>
        <v>9999.0069999999505</v>
      </c>
      <c r="Y157">
        <f t="shared" si="35"/>
        <v>4.0010199999999614</v>
      </c>
      <c r="Z157">
        <f t="shared" si="36"/>
        <v>4.0007099999999731</v>
      </c>
      <c r="AA157" t="str">
        <f t="shared" si="37"/>
        <v/>
      </c>
      <c r="AB157" t="str">
        <f t="shared" si="28"/>
        <v/>
      </c>
    </row>
    <row r="158" spans="1:28">
      <c r="A158">
        <f t="shared" si="38"/>
        <v>150</v>
      </c>
      <c r="B158">
        <f t="shared" si="26"/>
        <v>299</v>
      </c>
      <c r="C158" s="5"/>
      <c r="D158" s="6"/>
      <c r="E158" s="207"/>
      <c r="F158" s="207"/>
      <c r="I158" s="120" t="str">
        <f t="shared" si="39"/>
        <v/>
      </c>
      <c r="Q158">
        <f t="shared" si="29"/>
        <v>0</v>
      </c>
      <c r="R158">
        <f t="shared" si="30"/>
        <v>3</v>
      </c>
      <c r="S158">
        <f t="shared" si="31"/>
        <v>2</v>
      </c>
      <c r="T158">
        <f t="shared" si="32"/>
        <v>4</v>
      </c>
      <c r="U158">
        <f t="shared" si="33"/>
        <v>4</v>
      </c>
      <c r="W158">
        <f t="shared" si="34"/>
        <v>9999.0070999999498</v>
      </c>
      <c r="Y158">
        <f t="shared" si="35"/>
        <v>4.001029999999961</v>
      </c>
      <c r="Z158">
        <f t="shared" si="36"/>
        <v>4.0007199999999727</v>
      </c>
      <c r="AA158" t="str">
        <f t="shared" si="37"/>
        <v/>
      </c>
      <c r="AB158" t="str">
        <f t="shared" si="28"/>
        <v/>
      </c>
    </row>
    <row r="159" spans="1:28">
      <c r="A159">
        <f t="shared" si="38"/>
        <v>151</v>
      </c>
      <c r="B159">
        <f t="shared" si="26"/>
        <v>301</v>
      </c>
      <c r="C159" s="5"/>
      <c r="D159" s="6"/>
      <c r="E159" s="207"/>
      <c r="F159" s="207"/>
      <c r="I159" s="120" t="str">
        <f t="shared" si="39"/>
        <v/>
      </c>
      <c r="Q159">
        <f t="shared" si="29"/>
        <v>0</v>
      </c>
      <c r="R159">
        <f t="shared" si="30"/>
        <v>3</v>
      </c>
      <c r="S159">
        <f t="shared" si="31"/>
        <v>2</v>
      </c>
      <c r="T159">
        <f t="shared" si="32"/>
        <v>4</v>
      </c>
      <c r="U159">
        <f t="shared" si="33"/>
        <v>4</v>
      </c>
      <c r="W159">
        <f t="shared" si="34"/>
        <v>9999.0071999999491</v>
      </c>
      <c r="Y159">
        <f t="shared" si="35"/>
        <v>4.0010399999999606</v>
      </c>
      <c r="Z159">
        <f t="shared" si="36"/>
        <v>4.0007299999999724</v>
      </c>
      <c r="AA159" t="str">
        <f t="shared" si="37"/>
        <v/>
      </c>
      <c r="AB159" t="str">
        <f t="shared" si="28"/>
        <v/>
      </c>
    </row>
    <row r="160" spans="1:28">
      <c r="A160">
        <f t="shared" si="38"/>
        <v>152</v>
      </c>
      <c r="B160">
        <f t="shared" si="26"/>
        <v>303</v>
      </c>
      <c r="C160" s="5"/>
      <c r="D160" s="6"/>
      <c r="E160" s="207"/>
      <c r="F160" s="207"/>
      <c r="I160" s="120" t="str">
        <f t="shared" si="39"/>
        <v/>
      </c>
      <c r="Q160">
        <f t="shared" si="29"/>
        <v>0</v>
      </c>
      <c r="R160">
        <f t="shared" si="30"/>
        <v>3</v>
      </c>
      <c r="S160">
        <f t="shared" si="31"/>
        <v>2</v>
      </c>
      <c r="T160">
        <f t="shared" si="32"/>
        <v>4</v>
      </c>
      <c r="U160">
        <f t="shared" si="33"/>
        <v>4</v>
      </c>
      <c r="W160">
        <f t="shared" si="34"/>
        <v>9999.0072999999484</v>
      </c>
      <c r="Y160">
        <f t="shared" si="35"/>
        <v>4.0010499999999602</v>
      </c>
      <c r="Z160">
        <f t="shared" si="36"/>
        <v>4.000739999999972</v>
      </c>
      <c r="AA160" t="str">
        <f t="shared" si="37"/>
        <v/>
      </c>
      <c r="AB160" t="str">
        <f t="shared" si="28"/>
        <v/>
      </c>
    </row>
    <row r="161" spans="1:28">
      <c r="A161">
        <f t="shared" si="38"/>
        <v>153</v>
      </c>
      <c r="B161">
        <f t="shared" si="26"/>
        <v>305</v>
      </c>
      <c r="C161" s="5"/>
      <c r="D161" s="6"/>
      <c r="E161" s="207"/>
      <c r="F161" s="207"/>
      <c r="I161" s="120" t="str">
        <f t="shared" si="39"/>
        <v/>
      </c>
      <c r="Q161">
        <f t="shared" si="29"/>
        <v>0</v>
      </c>
      <c r="R161">
        <f t="shared" si="30"/>
        <v>3</v>
      </c>
      <c r="S161">
        <f t="shared" si="31"/>
        <v>2</v>
      </c>
      <c r="T161">
        <f t="shared" si="32"/>
        <v>4</v>
      </c>
      <c r="U161">
        <f t="shared" si="33"/>
        <v>4</v>
      </c>
      <c r="W161">
        <f t="shared" si="34"/>
        <v>9999.0073999999477</v>
      </c>
      <c r="Y161">
        <f t="shared" si="35"/>
        <v>4.0010599999999599</v>
      </c>
      <c r="Z161">
        <f t="shared" si="36"/>
        <v>4.0007499999999716</v>
      </c>
      <c r="AA161" t="str">
        <f t="shared" si="37"/>
        <v/>
      </c>
      <c r="AB161" t="str">
        <f t="shared" si="28"/>
        <v/>
      </c>
    </row>
    <row r="162" spans="1:28">
      <c r="A162">
        <f t="shared" si="38"/>
        <v>154</v>
      </c>
      <c r="B162">
        <f t="shared" si="26"/>
        <v>307</v>
      </c>
      <c r="C162" s="5"/>
      <c r="D162" s="6"/>
      <c r="E162" s="207"/>
      <c r="F162" s="207"/>
      <c r="I162" s="120" t="str">
        <f t="shared" si="39"/>
        <v/>
      </c>
      <c r="Q162">
        <f t="shared" si="29"/>
        <v>0</v>
      </c>
      <c r="R162">
        <f t="shared" si="30"/>
        <v>3</v>
      </c>
      <c r="S162">
        <f t="shared" si="31"/>
        <v>2</v>
      </c>
      <c r="T162">
        <f t="shared" si="32"/>
        <v>4</v>
      </c>
      <c r="U162">
        <f t="shared" si="33"/>
        <v>4</v>
      </c>
      <c r="W162">
        <f t="shared" si="34"/>
        <v>9999.007499999947</v>
      </c>
      <c r="Y162">
        <f t="shared" si="35"/>
        <v>4.0010699999999595</v>
      </c>
      <c r="Z162">
        <f t="shared" si="36"/>
        <v>4.0007599999999712</v>
      </c>
      <c r="AA162" t="str">
        <f t="shared" si="37"/>
        <v/>
      </c>
      <c r="AB162" t="str">
        <f t="shared" si="28"/>
        <v/>
      </c>
    </row>
    <row r="163" spans="1:28">
      <c r="A163">
        <f t="shared" si="38"/>
        <v>155</v>
      </c>
      <c r="B163">
        <f t="shared" si="26"/>
        <v>309</v>
      </c>
      <c r="C163" s="5"/>
      <c r="D163" s="6"/>
      <c r="E163" s="207"/>
      <c r="F163" s="207"/>
      <c r="I163" s="120" t="str">
        <f t="shared" si="39"/>
        <v/>
      </c>
      <c r="Q163">
        <f t="shared" si="29"/>
        <v>0</v>
      </c>
      <c r="R163">
        <f t="shared" si="30"/>
        <v>3</v>
      </c>
      <c r="S163">
        <f t="shared" si="31"/>
        <v>2</v>
      </c>
      <c r="T163">
        <f t="shared" si="32"/>
        <v>4</v>
      </c>
      <c r="U163">
        <f t="shared" si="33"/>
        <v>4</v>
      </c>
      <c r="W163">
        <f t="shared" si="34"/>
        <v>9999.0075999999463</v>
      </c>
      <c r="Y163">
        <f t="shared" si="35"/>
        <v>4.0010799999999591</v>
      </c>
      <c r="Z163">
        <f t="shared" si="36"/>
        <v>4.0007699999999708</v>
      </c>
      <c r="AA163" t="str">
        <f t="shared" si="37"/>
        <v/>
      </c>
      <c r="AB163" t="str">
        <f t="shared" si="28"/>
        <v/>
      </c>
    </row>
    <row r="164" spans="1:28">
      <c r="A164">
        <f t="shared" si="38"/>
        <v>156</v>
      </c>
      <c r="B164">
        <f t="shared" si="26"/>
        <v>311</v>
      </c>
      <c r="C164" s="5"/>
      <c r="D164" s="6"/>
      <c r="E164" s="207"/>
      <c r="F164" s="207"/>
      <c r="I164" s="120" t="str">
        <f t="shared" si="39"/>
        <v/>
      </c>
      <c r="Q164">
        <f t="shared" si="29"/>
        <v>0</v>
      </c>
      <c r="R164">
        <f t="shared" si="30"/>
        <v>3</v>
      </c>
      <c r="S164">
        <f t="shared" si="31"/>
        <v>2</v>
      </c>
      <c r="T164">
        <f t="shared" si="32"/>
        <v>4</v>
      </c>
      <c r="U164">
        <f t="shared" si="33"/>
        <v>4</v>
      </c>
      <c r="W164">
        <f t="shared" si="34"/>
        <v>9999.0076999999455</v>
      </c>
      <c r="Y164">
        <f t="shared" si="35"/>
        <v>4.0010899999999587</v>
      </c>
      <c r="Z164">
        <f t="shared" si="36"/>
        <v>4.0007799999999705</v>
      </c>
      <c r="AA164" t="str">
        <f t="shared" si="37"/>
        <v/>
      </c>
      <c r="AB164" t="str">
        <f t="shared" si="28"/>
        <v/>
      </c>
    </row>
    <row r="165" spans="1:28">
      <c r="A165">
        <f t="shared" si="38"/>
        <v>157</v>
      </c>
      <c r="B165">
        <f t="shared" si="26"/>
        <v>313</v>
      </c>
      <c r="C165" s="5"/>
      <c r="D165" s="6"/>
      <c r="E165" s="207"/>
      <c r="F165" s="207"/>
      <c r="I165" s="120" t="str">
        <f t="shared" si="39"/>
        <v/>
      </c>
      <c r="Q165">
        <f t="shared" si="29"/>
        <v>0</v>
      </c>
      <c r="R165">
        <f t="shared" si="30"/>
        <v>3</v>
      </c>
      <c r="S165">
        <f t="shared" si="31"/>
        <v>2</v>
      </c>
      <c r="T165">
        <f t="shared" si="32"/>
        <v>4</v>
      </c>
      <c r="U165">
        <f t="shared" si="33"/>
        <v>4</v>
      </c>
      <c r="W165">
        <f t="shared" si="34"/>
        <v>9999.0077999999448</v>
      </c>
      <c r="Y165">
        <f t="shared" si="35"/>
        <v>4.0010999999999584</v>
      </c>
      <c r="Z165">
        <f t="shared" si="36"/>
        <v>4.0007899999999701</v>
      </c>
      <c r="AA165" t="str">
        <f t="shared" si="37"/>
        <v/>
      </c>
      <c r="AB165" t="str">
        <f t="shared" si="28"/>
        <v/>
      </c>
    </row>
    <row r="166" spans="1:28">
      <c r="A166">
        <f t="shared" si="38"/>
        <v>158</v>
      </c>
      <c r="B166">
        <f t="shared" si="26"/>
        <v>315</v>
      </c>
      <c r="C166" s="5"/>
      <c r="D166" s="6"/>
      <c r="E166" s="207"/>
      <c r="F166" s="207"/>
      <c r="I166" s="120" t="str">
        <f t="shared" si="39"/>
        <v/>
      </c>
      <c r="Q166">
        <f t="shared" si="29"/>
        <v>0</v>
      </c>
      <c r="R166">
        <f t="shared" si="30"/>
        <v>3</v>
      </c>
      <c r="S166">
        <f t="shared" si="31"/>
        <v>2</v>
      </c>
      <c r="T166">
        <f t="shared" si="32"/>
        <v>4</v>
      </c>
      <c r="U166">
        <f t="shared" si="33"/>
        <v>4</v>
      </c>
      <c r="W166">
        <f t="shared" si="34"/>
        <v>9999.0078999999441</v>
      </c>
      <c r="Y166">
        <f t="shared" si="35"/>
        <v>4.001109999999958</v>
      </c>
      <c r="Z166">
        <f t="shared" si="36"/>
        <v>4.0007999999999697</v>
      </c>
      <c r="AA166" t="str">
        <f t="shared" si="37"/>
        <v/>
      </c>
      <c r="AB166" t="str">
        <f t="shared" si="28"/>
        <v/>
      </c>
    </row>
    <row r="167" spans="1:28">
      <c r="A167">
        <f t="shared" si="38"/>
        <v>159</v>
      </c>
      <c r="B167">
        <f t="shared" si="26"/>
        <v>317</v>
      </c>
      <c r="C167" s="5"/>
      <c r="D167" s="6"/>
      <c r="E167" s="207"/>
      <c r="F167" s="207"/>
      <c r="I167" s="120" t="str">
        <f t="shared" si="39"/>
        <v/>
      </c>
      <c r="Q167">
        <f t="shared" si="29"/>
        <v>0</v>
      </c>
      <c r="R167">
        <f t="shared" si="30"/>
        <v>3</v>
      </c>
      <c r="S167">
        <f t="shared" si="31"/>
        <v>2</v>
      </c>
      <c r="T167">
        <f t="shared" si="32"/>
        <v>4</v>
      </c>
      <c r="U167">
        <f t="shared" si="33"/>
        <v>4</v>
      </c>
      <c r="W167">
        <f t="shared" si="34"/>
        <v>9999.0079999999434</v>
      </c>
      <c r="Y167">
        <f t="shared" si="35"/>
        <v>4.0011199999999576</v>
      </c>
      <c r="Z167">
        <f t="shared" si="36"/>
        <v>4.0008099999999693</v>
      </c>
      <c r="AA167" t="str">
        <f t="shared" si="37"/>
        <v/>
      </c>
      <c r="AB167" t="str">
        <f t="shared" si="28"/>
        <v/>
      </c>
    </row>
    <row r="168" spans="1:28">
      <c r="A168">
        <f t="shared" si="38"/>
        <v>160</v>
      </c>
      <c r="B168">
        <f t="shared" si="26"/>
        <v>319</v>
      </c>
      <c r="C168" s="5"/>
      <c r="D168" s="6"/>
      <c r="E168" s="207"/>
      <c r="F168" s="207"/>
      <c r="I168" s="120" t="str">
        <f t="shared" si="39"/>
        <v/>
      </c>
      <c r="Q168">
        <f t="shared" si="29"/>
        <v>0</v>
      </c>
      <c r="R168">
        <f t="shared" si="30"/>
        <v>3</v>
      </c>
      <c r="S168">
        <f t="shared" si="31"/>
        <v>2</v>
      </c>
      <c r="T168">
        <f t="shared" si="32"/>
        <v>4</v>
      </c>
      <c r="U168">
        <f t="shared" si="33"/>
        <v>4</v>
      </c>
      <c r="W168">
        <f t="shared" si="34"/>
        <v>9999.0080999999427</v>
      </c>
      <c r="Y168">
        <f t="shared" si="35"/>
        <v>4.0011299999999572</v>
      </c>
      <c r="Z168">
        <f t="shared" si="36"/>
        <v>4.000819999999969</v>
      </c>
      <c r="AA168" t="str">
        <f t="shared" si="37"/>
        <v/>
      </c>
      <c r="AB168" t="str">
        <f t="shared" si="28"/>
        <v/>
      </c>
    </row>
    <row r="169" spans="1:28">
      <c r="A169">
        <f t="shared" si="38"/>
        <v>161</v>
      </c>
      <c r="B169">
        <f t="shared" si="26"/>
        <v>321</v>
      </c>
      <c r="C169" s="5"/>
      <c r="D169" s="6"/>
      <c r="E169" s="207"/>
      <c r="F169" s="207"/>
      <c r="I169" s="120" t="str">
        <f t="shared" si="39"/>
        <v/>
      </c>
      <c r="Q169">
        <f t="shared" si="29"/>
        <v>0</v>
      </c>
      <c r="R169">
        <f t="shared" si="30"/>
        <v>3</v>
      </c>
      <c r="S169">
        <f t="shared" si="31"/>
        <v>2</v>
      </c>
      <c r="T169">
        <f t="shared" si="32"/>
        <v>4</v>
      </c>
      <c r="U169">
        <f t="shared" si="33"/>
        <v>4</v>
      </c>
      <c r="W169">
        <f t="shared" si="34"/>
        <v>9999.008199999942</v>
      </c>
      <c r="Y169">
        <f t="shared" si="35"/>
        <v>4.0011399999999568</v>
      </c>
      <c r="Z169">
        <f t="shared" si="36"/>
        <v>4.0008299999999686</v>
      </c>
      <c r="AA169" t="str">
        <f t="shared" si="37"/>
        <v/>
      </c>
      <c r="AB169" t="str">
        <f t="shared" si="28"/>
        <v/>
      </c>
    </row>
    <row r="170" spans="1:28">
      <c r="A170">
        <f t="shared" si="38"/>
        <v>162</v>
      </c>
      <c r="B170">
        <f t="shared" si="26"/>
        <v>323</v>
      </c>
      <c r="C170" s="5"/>
      <c r="D170" s="6"/>
      <c r="E170" s="207"/>
      <c r="F170" s="207"/>
      <c r="I170" s="120" t="str">
        <f t="shared" si="39"/>
        <v/>
      </c>
      <c r="Q170">
        <f t="shared" si="29"/>
        <v>0</v>
      </c>
      <c r="R170">
        <f t="shared" si="30"/>
        <v>3</v>
      </c>
      <c r="S170">
        <f t="shared" si="31"/>
        <v>2</v>
      </c>
      <c r="T170">
        <f t="shared" si="32"/>
        <v>4</v>
      </c>
      <c r="U170">
        <f t="shared" si="33"/>
        <v>4</v>
      </c>
      <c r="W170">
        <f t="shared" si="34"/>
        <v>9999.0082999999413</v>
      </c>
      <c r="Y170">
        <f t="shared" si="35"/>
        <v>4.0011499999999565</v>
      </c>
      <c r="Z170">
        <f t="shared" si="36"/>
        <v>4.0008399999999682</v>
      </c>
      <c r="AA170" t="str">
        <f t="shared" si="37"/>
        <v/>
      </c>
      <c r="AB170" t="str">
        <f t="shared" si="28"/>
        <v/>
      </c>
    </row>
    <row r="171" spans="1:28">
      <c r="A171">
        <f t="shared" si="38"/>
        <v>163</v>
      </c>
      <c r="B171">
        <f t="shared" si="26"/>
        <v>325</v>
      </c>
      <c r="C171" s="5"/>
      <c r="D171" s="6"/>
      <c r="E171" s="207"/>
      <c r="F171" s="207"/>
      <c r="I171" s="120" t="str">
        <f t="shared" si="39"/>
        <v/>
      </c>
      <c r="Q171">
        <f t="shared" si="29"/>
        <v>0</v>
      </c>
      <c r="R171">
        <f t="shared" si="30"/>
        <v>3</v>
      </c>
      <c r="S171">
        <f t="shared" si="31"/>
        <v>2</v>
      </c>
      <c r="T171">
        <f t="shared" si="32"/>
        <v>4</v>
      </c>
      <c r="U171">
        <f t="shared" si="33"/>
        <v>4</v>
      </c>
      <c r="W171">
        <f t="shared" si="34"/>
        <v>9999.0083999999406</v>
      </c>
      <c r="Y171">
        <f t="shared" si="35"/>
        <v>4.0011599999999561</v>
      </c>
      <c r="Z171">
        <f t="shared" si="36"/>
        <v>4.0008499999999678</v>
      </c>
      <c r="AA171" t="str">
        <f t="shared" si="37"/>
        <v/>
      </c>
      <c r="AB171" t="str">
        <f t="shared" si="28"/>
        <v/>
      </c>
    </row>
    <row r="172" spans="1:28">
      <c r="A172">
        <f t="shared" si="38"/>
        <v>164</v>
      </c>
      <c r="B172">
        <f t="shared" si="26"/>
        <v>327</v>
      </c>
      <c r="C172" s="5"/>
      <c r="D172" s="6"/>
      <c r="E172" s="207"/>
      <c r="F172" s="207"/>
      <c r="I172" s="120" t="str">
        <f t="shared" si="39"/>
        <v/>
      </c>
      <c r="Q172">
        <f t="shared" si="29"/>
        <v>0</v>
      </c>
      <c r="R172">
        <f t="shared" si="30"/>
        <v>3</v>
      </c>
      <c r="S172">
        <f t="shared" si="31"/>
        <v>2</v>
      </c>
      <c r="T172">
        <f t="shared" si="32"/>
        <v>4</v>
      </c>
      <c r="U172">
        <f t="shared" si="33"/>
        <v>4</v>
      </c>
      <c r="W172">
        <f t="shared" si="34"/>
        <v>9999.0084999999399</v>
      </c>
      <c r="Y172">
        <f t="shared" si="35"/>
        <v>4.0011699999999557</v>
      </c>
      <c r="Z172">
        <f t="shared" si="36"/>
        <v>4.0008599999999674</v>
      </c>
      <c r="AA172" t="str">
        <f t="shared" si="37"/>
        <v/>
      </c>
      <c r="AB172" t="str">
        <f t="shared" si="28"/>
        <v/>
      </c>
    </row>
    <row r="173" spans="1:28">
      <c r="A173">
        <f t="shared" si="38"/>
        <v>165</v>
      </c>
      <c r="B173">
        <f t="shared" si="26"/>
        <v>329</v>
      </c>
      <c r="C173" s="5"/>
      <c r="D173" s="6"/>
      <c r="E173" s="207"/>
      <c r="F173" s="207"/>
      <c r="I173" s="120" t="str">
        <f t="shared" si="39"/>
        <v/>
      </c>
      <c r="Q173">
        <f t="shared" si="29"/>
        <v>0</v>
      </c>
      <c r="R173">
        <f t="shared" si="30"/>
        <v>3</v>
      </c>
      <c r="S173">
        <f t="shared" si="31"/>
        <v>2</v>
      </c>
      <c r="T173">
        <f t="shared" si="32"/>
        <v>4</v>
      </c>
      <c r="U173">
        <f t="shared" si="33"/>
        <v>4</v>
      </c>
      <c r="W173">
        <f t="shared" si="34"/>
        <v>9999.0085999999392</v>
      </c>
      <c r="Y173">
        <f t="shared" si="35"/>
        <v>4.0011799999999553</v>
      </c>
      <c r="Z173">
        <f t="shared" si="36"/>
        <v>4.0008699999999671</v>
      </c>
      <c r="AA173" t="str">
        <f t="shared" si="37"/>
        <v/>
      </c>
      <c r="AB173" t="str">
        <f t="shared" si="28"/>
        <v/>
      </c>
    </row>
    <row r="174" spans="1:28">
      <c r="A174">
        <f t="shared" si="38"/>
        <v>166</v>
      </c>
      <c r="B174">
        <f t="shared" si="26"/>
        <v>331</v>
      </c>
      <c r="C174" s="5"/>
      <c r="D174" s="6"/>
      <c r="E174" s="207"/>
      <c r="F174" s="207"/>
      <c r="I174" s="120" t="str">
        <f t="shared" si="39"/>
        <v/>
      </c>
      <c r="Q174">
        <f t="shared" si="29"/>
        <v>0</v>
      </c>
      <c r="R174">
        <f t="shared" si="30"/>
        <v>3</v>
      </c>
      <c r="S174">
        <f t="shared" si="31"/>
        <v>2</v>
      </c>
      <c r="T174">
        <f t="shared" si="32"/>
        <v>4</v>
      </c>
      <c r="U174">
        <f t="shared" si="33"/>
        <v>4</v>
      </c>
      <c r="W174">
        <f t="shared" si="34"/>
        <v>9999.0086999999385</v>
      </c>
      <c r="Y174">
        <f t="shared" si="35"/>
        <v>4.0011899999999549</v>
      </c>
      <c r="Z174">
        <f t="shared" si="36"/>
        <v>4.0008799999999667</v>
      </c>
      <c r="AA174" t="str">
        <f t="shared" si="37"/>
        <v/>
      </c>
      <c r="AB174" t="str">
        <f t="shared" si="28"/>
        <v/>
      </c>
    </row>
    <row r="175" spans="1:28">
      <c r="A175">
        <f t="shared" si="38"/>
        <v>167</v>
      </c>
      <c r="B175">
        <f t="shared" si="26"/>
        <v>333</v>
      </c>
      <c r="C175" s="5"/>
      <c r="D175" s="6"/>
      <c r="E175" s="207"/>
      <c r="F175" s="207"/>
      <c r="I175" s="120" t="str">
        <f t="shared" si="39"/>
        <v/>
      </c>
      <c r="Q175">
        <f t="shared" si="29"/>
        <v>0</v>
      </c>
      <c r="R175">
        <f t="shared" si="30"/>
        <v>3</v>
      </c>
      <c r="S175">
        <f t="shared" si="31"/>
        <v>2</v>
      </c>
      <c r="T175">
        <f t="shared" si="32"/>
        <v>4</v>
      </c>
      <c r="U175">
        <f t="shared" si="33"/>
        <v>4</v>
      </c>
      <c r="W175">
        <f t="shared" si="34"/>
        <v>9999.0087999999378</v>
      </c>
      <c r="Y175">
        <f t="shared" si="35"/>
        <v>4.0011999999999546</v>
      </c>
      <c r="Z175">
        <f t="shared" si="36"/>
        <v>4.0008899999999663</v>
      </c>
      <c r="AA175" t="str">
        <f t="shared" si="37"/>
        <v/>
      </c>
      <c r="AB175" t="str">
        <f t="shared" ref="AB175:AB238" si="40">IF(U175-U174=0,"",D175)</f>
        <v/>
      </c>
    </row>
    <row r="176" spans="1:28">
      <c r="A176">
        <f t="shared" si="38"/>
        <v>168</v>
      </c>
      <c r="B176">
        <f t="shared" si="26"/>
        <v>335</v>
      </c>
      <c r="C176" s="5"/>
      <c r="D176" s="6"/>
      <c r="E176" s="207"/>
      <c r="F176" s="207"/>
      <c r="I176" s="120" t="str">
        <f t="shared" si="39"/>
        <v/>
      </c>
      <c r="Q176">
        <f t="shared" si="29"/>
        <v>0</v>
      </c>
      <c r="R176">
        <f t="shared" si="30"/>
        <v>3</v>
      </c>
      <c r="S176">
        <f t="shared" si="31"/>
        <v>2</v>
      </c>
      <c r="T176">
        <f t="shared" si="32"/>
        <v>4</v>
      </c>
      <c r="U176">
        <f t="shared" si="33"/>
        <v>4</v>
      </c>
      <c r="W176">
        <f t="shared" si="34"/>
        <v>9999.0088999999371</v>
      </c>
      <c r="Y176">
        <f t="shared" si="35"/>
        <v>4.0012099999999542</v>
      </c>
      <c r="Z176">
        <f t="shared" si="36"/>
        <v>4.0008999999999659</v>
      </c>
      <c r="AA176" t="str">
        <f t="shared" si="37"/>
        <v/>
      </c>
      <c r="AB176" t="str">
        <f t="shared" si="40"/>
        <v/>
      </c>
    </row>
    <row r="177" spans="1:28">
      <c r="A177">
        <f t="shared" si="38"/>
        <v>169</v>
      </c>
      <c r="B177">
        <f t="shared" si="26"/>
        <v>337</v>
      </c>
      <c r="C177" s="5"/>
      <c r="D177" s="6"/>
      <c r="E177" s="207"/>
      <c r="F177" s="207"/>
      <c r="I177" s="120" t="str">
        <f t="shared" si="39"/>
        <v/>
      </c>
      <c r="Q177">
        <f t="shared" si="29"/>
        <v>0</v>
      </c>
      <c r="R177">
        <f t="shared" si="30"/>
        <v>3</v>
      </c>
      <c r="S177">
        <f t="shared" si="31"/>
        <v>2</v>
      </c>
      <c r="T177">
        <f t="shared" si="32"/>
        <v>4</v>
      </c>
      <c r="U177">
        <f t="shared" si="33"/>
        <v>4</v>
      </c>
      <c r="W177">
        <f t="shared" si="34"/>
        <v>9999.0089999999363</v>
      </c>
      <c r="Y177">
        <f t="shared" si="35"/>
        <v>4.0012199999999538</v>
      </c>
      <c r="Z177">
        <f t="shared" si="36"/>
        <v>4.0009099999999655</v>
      </c>
      <c r="AA177" t="str">
        <f t="shared" si="37"/>
        <v/>
      </c>
      <c r="AB177" t="str">
        <f t="shared" si="40"/>
        <v/>
      </c>
    </row>
    <row r="178" spans="1:28">
      <c r="A178">
        <f t="shared" si="38"/>
        <v>170</v>
      </c>
      <c r="B178">
        <f t="shared" si="26"/>
        <v>339</v>
      </c>
      <c r="C178" s="5"/>
      <c r="D178" s="6"/>
      <c r="E178" s="207"/>
      <c r="F178" s="207"/>
      <c r="I178" s="120" t="str">
        <f t="shared" si="39"/>
        <v/>
      </c>
      <c r="Q178">
        <f t="shared" si="29"/>
        <v>0</v>
      </c>
      <c r="R178">
        <f t="shared" si="30"/>
        <v>3</v>
      </c>
      <c r="S178">
        <f t="shared" si="31"/>
        <v>2</v>
      </c>
      <c r="T178">
        <f t="shared" si="32"/>
        <v>4</v>
      </c>
      <c r="U178">
        <f t="shared" si="33"/>
        <v>4</v>
      </c>
      <c r="W178">
        <f t="shared" si="34"/>
        <v>9999.0090999999356</v>
      </c>
      <c r="Y178">
        <f t="shared" si="35"/>
        <v>4.0012299999999534</v>
      </c>
      <c r="Z178">
        <f t="shared" si="36"/>
        <v>4.0009199999999652</v>
      </c>
      <c r="AA178" t="str">
        <f t="shared" si="37"/>
        <v/>
      </c>
      <c r="AB178" t="str">
        <f t="shared" si="40"/>
        <v/>
      </c>
    </row>
    <row r="179" spans="1:28">
      <c r="A179">
        <f t="shared" si="38"/>
        <v>171</v>
      </c>
      <c r="B179">
        <f t="shared" si="26"/>
        <v>341</v>
      </c>
      <c r="C179" s="5"/>
      <c r="D179" s="6"/>
      <c r="E179" s="207"/>
      <c r="F179" s="207"/>
      <c r="I179" s="120" t="str">
        <f t="shared" si="39"/>
        <v/>
      </c>
      <c r="Q179">
        <f t="shared" si="29"/>
        <v>0</v>
      </c>
      <c r="R179">
        <f t="shared" si="30"/>
        <v>3</v>
      </c>
      <c r="S179">
        <f t="shared" si="31"/>
        <v>2</v>
      </c>
      <c r="T179">
        <f t="shared" si="32"/>
        <v>4</v>
      </c>
      <c r="U179">
        <f t="shared" si="33"/>
        <v>4</v>
      </c>
      <c r="W179">
        <f t="shared" si="34"/>
        <v>9999.0091999999349</v>
      </c>
      <c r="Y179">
        <f t="shared" si="35"/>
        <v>4.0012399999999531</v>
      </c>
      <c r="Z179">
        <f t="shared" si="36"/>
        <v>4.0009299999999648</v>
      </c>
      <c r="AA179" t="str">
        <f t="shared" si="37"/>
        <v/>
      </c>
      <c r="AB179" t="str">
        <f t="shared" si="40"/>
        <v/>
      </c>
    </row>
    <row r="180" spans="1:28">
      <c r="A180">
        <f t="shared" si="38"/>
        <v>172</v>
      </c>
      <c r="B180">
        <f t="shared" si="26"/>
        <v>343</v>
      </c>
      <c r="C180" s="5"/>
      <c r="D180" s="6"/>
      <c r="E180" s="207"/>
      <c r="F180" s="207"/>
      <c r="I180" s="120" t="str">
        <f t="shared" si="39"/>
        <v/>
      </c>
      <c r="Q180">
        <f t="shared" si="29"/>
        <v>0</v>
      </c>
      <c r="R180">
        <f t="shared" si="30"/>
        <v>3</v>
      </c>
      <c r="S180">
        <f t="shared" si="31"/>
        <v>2</v>
      </c>
      <c r="T180">
        <f t="shared" si="32"/>
        <v>4</v>
      </c>
      <c r="U180">
        <f t="shared" si="33"/>
        <v>4</v>
      </c>
      <c r="W180">
        <f t="shared" si="34"/>
        <v>9999.0092999999342</v>
      </c>
      <c r="Y180">
        <f t="shared" si="35"/>
        <v>4.0012499999999527</v>
      </c>
      <c r="Z180">
        <f t="shared" si="36"/>
        <v>4.0009399999999644</v>
      </c>
      <c r="AA180" t="str">
        <f t="shared" si="37"/>
        <v/>
      </c>
      <c r="AB180" t="str">
        <f t="shared" si="40"/>
        <v/>
      </c>
    </row>
    <row r="181" spans="1:28">
      <c r="A181">
        <f t="shared" si="38"/>
        <v>173</v>
      </c>
      <c r="B181">
        <f t="shared" si="26"/>
        <v>345</v>
      </c>
      <c r="C181" s="5"/>
      <c r="D181" s="6"/>
      <c r="E181" s="207"/>
      <c r="F181" s="207"/>
      <c r="I181" s="120" t="str">
        <f t="shared" si="39"/>
        <v/>
      </c>
      <c r="Q181">
        <f t="shared" si="29"/>
        <v>0</v>
      </c>
      <c r="R181">
        <f t="shared" si="30"/>
        <v>3</v>
      </c>
      <c r="S181">
        <f t="shared" si="31"/>
        <v>2</v>
      </c>
      <c r="T181">
        <f t="shared" si="32"/>
        <v>4</v>
      </c>
      <c r="U181">
        <f t="shared" si="33"/>
        <v>4</v>
      </c>
      <c r="W181">
        <f t="shared" si="34"/>
        <v>9999.0093999999335</v>
      </c>
      <c r="Y181">
        <f t="shared" si="35"/>
        <v>4.0012599999999523</v>
      </c>
      <c r="Z181">
        <f t="shared" si="36"/>
        <v>4.000949999999964</v>
      </c>
      <c r="AA181" t="str">
        <f t="shared" si="37"/>
        <v/>
      </c>
      <c r="AB181" t="str">
        <f t="shared" si="40"/>
        <v/>
      </c>
    </row>
    <row r="182" spans="1:28">
      <c r="A182">
        <f t="shared" si="38"/>
        <v>174</v>
      </c>
      <c r="B182">
        <f t="shared" si="26"/>
        <v>347</v>
      </c>
      <c r="C182" s="5"/>
      <c r="D182" s="6"/>
      <c r="E182" s="207"/>
      <c r="F182" s="207"/>
      <c r="I182" s="120" t="str">
        <f t="shared" si="39"/>
        <v/>
      </c>
      <c r="Q182">
        <f t="shared" si="29"/>
        <v>0</v>
      </c>
      <c r="R182">
        <f t="shared" si="30"/>
        <v>3</v>
      </c>
      <c r="S182">
        <f t="shared" si="31"/>
        <v>2</v>
      </c>
      <c r="T182">
        <f t="shared" si="32"/>
        <v>4</v>
      </c>
      <c r="U182">
        <f t="shared" si="33"/>
        <v>4</v>
      </c>
      <c r="W182">
        <f t="shared" si="34"/>
        <v>9999.0094999999328</v>
      </c>
      <c r="Y182">
        <f t="shared" si="35"/>
        <v>4.0012699999999519</v>
      </c>
      <c r="Z182">
        <f t="shared" si="36"/>
        <v>4.0009599999999637</v>
      </c>
      <c r="AA182" t="str">
        <f t="shared" si="37"/>
        <v/>
      </c>
      <c r="AB182" t="str">
        <f t="shared" si="40"/>
        <v/>
      </c>
    </row>
    <row r="183" spans="1:28">
      <c r="A183">
        <f t="shared" si="38"/>
        <v>175</v>
      </c>
      <c r="B183">
        <f t="shared" si="26"/>
        <v>349</v>
      </c>
      <c r="C183" s="5"/>
      <c r="D183" s="6"/>
      <c r="E183" s="207"/>
      <c r="F183" s="207"/>
      <c r="I183" s="120" t="str">
        <f t="shared" si="39"/>
        <v/>
      </c>
      <c r="Q183">
        <f t="shared" si="29"/>
        <v>0</v>
      </c>
      <c r="R183">
        <f t="shared" si="30"/>
        <v>3</v>
      </c>
      <c r="S183">
        <f t="shared" si="31"/>
        <v>2</v>
      </c>
      <c r="T183">
        <f t="shared" si="32"/>
        <v>4</v>
      </c>
      <c r="U183">
        <f t="shared" si="33"/>
        <v>4</v>
      </c>
      <c r="W183">
        <f t="shared" si="34"/>
        <v>9999.0095999999321</v>
      </c>
      <c r="Y183">
        <f t="shared" si="35"/>
        <v>4.0012799999999515</v>
      </c>
      <c r="Z183">
        <f t="shared" si="36"/>
        <v>4.0009699999999633</v>
      </c>
      <c r="AA183" t="str">
        <f t="shared" si="37"/>
        <v/>
      </c>
      <c r="AB183" t="str">
        <f t="shared" si="40"/>
        <v/>
      </c>
    </row>
    <row r="184" spans="1:28">
      <c r="A184">
        <f t="shared" si="38"/>
        <v>176</v>
      </c>
      <c r="B184">
        <f t="shared" si="26"/>
        <v>351</v>
      </c>
      <c r="C184" s="5"/>
      <c r="D184" s="6"/>
      <c r="E184" s="207"/>
      <c r="F184" s="207"/>
      <c r="I184" s="120" t="str">
        <f t="shared" si="39"/>
        <v/>
      </c>
      <c r="Q184">
        <f t="shared" si="29"/>
        <v>0</v>
      </c>
      <c r="R184">
        <f t="shared" si="30"/>
        <v>3</v>
      </c>
      <c r="S184">
        <f t="shared" si="31"/>
        <v>2</v>
      </c>
      <c r="T184">
        <f t="shared" si="32"/>
        <v>4</v>
      </c>
      <c r="U184">
        <f t="shared" si="33"/>
        <v>4</v>
      </c>
      <c r="W184">
        <f t="shared" si="34"/>
        <v>9999.0096999999314</v>
      </c>
      <c r="Y184">
        <f t="shared" si="35"/>
        <v>4.0012899999999512</v>
      </c>
      <c r="Z184">
        <f t="shared" si="36"/>
        <v>4.0009799999999629</v>
      </c>
      <c r="AA184" t="str">
        <f t="shared" si="37"/>
        <v/>
      </c>
      <c r="AB184" t="str">
        <f t="shared" si="40"/>
        <v/>
      </c>
    </row>
    <row r="185" spans="1:28">
      <c r="A185">
        <f t="shared" si="38"/>
        <v>177</v>
      </c>
      <c r="B185">
        <f t="shared" si="26"/>
        <v>353</v>
      </c>
      <c r="C185" s="5"/>
      <c r="D185" s="6"/>
      <c r="E185" s="207"/>
      <c r="F185" s="207"/>
      <c r="I185" s="120" t="str">
        <f t="shared" si="39"/>
        <v/>
      </c>
      <c r="Q185">
        <f t="shared" si="29"/>
        <v>0</v>
      </c>
      <c r="R185">
        <f t="shared" si="30"/>
        <v>3</v>
      </c>
      <c r="S185">
        <f t="shared" si="31"/>
        <v>2</v>
      </c>
      <c r="T185">
        <f t="shared" si="32"/>
        <v>4</v>
      </c>
      <c r="U185">
        <f t="shared" si="33"/>
        <v>4</v>
      </c>
      <c r="W185">
        <f t="shared" si="34"/>
        <v>9999.0097999999307</v>
      </c>
      <c r="Y185">
        <f t="shared" si="35"/>
        <v>4.0012999999999508</v>
      </c>
      <c r="Z185">
        <f t="shared" si="36"/>
        <v>4.0009899999999625</v>
      </c>
      <c r="AA185" t="str">
        <f t="shared" si="37"/>
        <v/>
      </c>
      <c r="AB185" t="str">
        <f t="shared" si="40"/>
        <v/>
      </c>
    </row>
    <row r="186" spans="1:28">
      <c r="A186">
        <f t="shared" si="38"/>
        <v>178</v>
      </c>
      <c r="B186">
        <f t="shared" si="26"/>
        <v>355</v>
      </c>
      <c r="C186" s="5"/>
      <c r="D186" s="6"/>
      <c r="E186" s="207"/>
      <c r="F186" s="207"/>
      <c r="I186" s="120" t="str">
        <f t="shared" si="39"/>
        <v/>
      </c>
      <c r="Q186">
        <f t="shared" si="29"/>
        <v>0</v>
      </c>
      <c r="R186">
        <f t="shared" si="30"/>
        <v>3</v>
      </c>
      <c r="S186">
        <f t="shared" si="31"/>
        <v>2</v>
      </c>
      <c r="T186">
        <f t="shared" si="32"/>
        <v>4</v>
      </c>
      <c r="U186">
        <f t="shared" si="33"/>
        <v>4</v>
      </c>
      <c r="W186">
        <f t="shared" si="34"/>
        <v>9999.00989999993</v>
      </c>
      <c r="Y186">
        <f t="shared" si="35"/>
        <v>4.0013099999999504</v>
      </c>
      <c r="Z186">
        <f t="shared" si="36"/>
        <v>4.0009999999999621</v>
      </c>
      <c r="AA186" t="str">
        <f t="shared" si="37"/>
        <v/>
      </c>
      <c r="AB186" t="str">
        <f t="shared" si="40"/>
        <v/>
      </c>
    </row>
    <row r="187" spans="1:28">
      <c r="A187">
        <f t="shared" si="38"/>
        <v>179</v>
      </c>
      <c r="B187">
        <f t="shared" si="26"/>
        <v>357</v>
      </c>
      <c r="C187" s="5"/>
      <c r="D187" s="6"/>
      <c r="E187" s="207"/>
      <c r="F187" s="207"/>
      <c r="I187" s="120" t="str">
        <f t="shared" si="39"/>
        <v/>
      </c>
      <c r="Q187">
        <f t="shared" si="29"/>
        <v>0</v>
      </c>
      <c r="R187">
        <f t="shared" si="30"/>
        <v>3</v>
      </c>
      <c r="S187">
        <f t="shared" si="31"/>
        <v>2</v>
      </c>
      <c r="T187">
        <f t="shared" si="32"/>
        <v>4</v>
      </c>
      <c r="U187">
        <f t="shared" si="33"/>
        <v>4</v>
      </c>
      <c r="W187">
        <f t="shared" si="34"/>
        <v>9999.0099999999293</v>
      </c>
      <c r="Y187">
        <f t="shared" si="35"/>
        <v>4.00131999999995</v>
      </c>
      <c r="Z187">
        <f t="shared" si="36"/>
        <v>4.0010099999999618</v>
      </c>
      <c r="AA187" t="str">
        <f t="shared" si="37"/>
        <v/>
      </c>
      <c r="AB187" t="str">
        <f t="shared" si="40"/>
        <v/>
      </c>
    </row>
    <row r="188" spans="1:28">
      <c r="A188">
        <f t="shared" si="38"/>
        <v>180</v>
      </c>
      <c r="B188">
        <f t="shared" si="26"/>
        <v>359</v>
      </c>
      <c r="C188" s="5"/>
      <c r="D188" s="6"/>
      <c r="E188" s="207"/>
      <c r="F188" s="207"/>
      <c r="I188" s="120" t="str">
        <f t="shared" si="39"/>
        <v/>
      </c>
      <c r="Q188">
        <f t="shared" si="29"/>
        <v>0</v>
      </c>
      <c r="R188">
        <f t="shared" si="30"/>
        <v>3</v>
      </c>
      <c r="S188">
        <f t="shared" si="31"/>
        <v>2</v>
      </c>
      <c r="T188">
        <f t="shared" si="32"/>
        <v>4</v>
      </c>
      <c r="U188">
        <f t="shared" si="33"/>
        <v>4</v>
      </c>
      <c r="W188">
        <f t="shared" si="34"/>
        <v>9999.0100999999286</v>
      </c>
      <c r="Y188">
        <f t="shared" si="35"/>
        <v>4.0013299999999496</v>
      </c>
      <c r="Z188">
        <f t="shared" si="36"/>
        <v>4.0010199999999614</v>
      </c>
      <c r="AA188" t="str">
        <f t="shared" si="37"/>
        <v/>
      </c>
      <c r="AB188" t="str">
        <f t="shared" si="40"/>
        <v/>
      </c>
    </row>
    <row r="189" spans="1:28">
      <c r="A189">
        <f t="shared" si="38"/>
        <v>181</v>
      </c>
      <c r="B189">
        <f t="shared" si="26"/>
        <v>361</v>
      </c>
      <c r="C189" s="5"/>
      <c r="D189" s="6"/>
      <c r="E189" s="207"/>
      <c r="F189" s="207"/>
      <c r="I189" s="120" t="str">
        <f t="shared" si="39"/>
        <v/>
      </c>
      <c r="Q189">
        <f t="shared" si="29"/>
        <v>0</v>
      </c>
      <c r="R189">
        <f t="shared" si="30"/>
        <v>3</v>
      </c>
      <c r="S189">
        <f t="shared" si="31"/>
        <v>2</v>
      </c>
      <c r="T189">
        <f t="shared" si="32"/>
        <v>4</v>
      </c>
      <c r="U189">
        <f t="shared" si="33"/>
        <v>4</v>
      </c>
      <c r="W189">
        <f t="shared" si="34"/>
        <v>9999.0101999999279</v>
      </c>
      <c r="Y189">
        <f t="shared" si="35"/>
        <v>4.0013399999999493</v>
      </c>
      <c r="Z189">
        <f t="shared" si="36"/>
        <v>4.001029999999961</v>
      </c>
      <c r="AA189" t="str">
        <f t="shared" si="37"/>
        <v/>
      </c>
      <c r="AB189" t="str">
        <f t="shared" si="40"/>
        <v/>
      </c>
    </row>
    <row r="190" spans="1:28">
      <c r="A190">
        <f t="shared" si="38"/>
        <v>182</v>
      </c>
      <c r="B190">
        <f t="shared" si="26"/>
        <v>363</v>
      </c>
      <c r="C190" s="5"/>
      <c r="D190" s="6"/>
      <c r="E190" s="207"/>
      <c r="F190" s="207"/>
      <c r="I190" s="120" t="str">
        <f t="shared" si="39"/>
        <v/>
      </c>
      <c r="Q190">
        <f t="shared" si="29"/>
        <v>0</v>
      </c>
      <c r="R190">
        <f t="shared" si="30"/>
        <v>3</v>
      </c>
      <c r="S190">
        <f t="shared" si="31"/>
        <v>2</v>
      </c>
      <c r="T190">
        <f t="shared" si="32"/>
        <v>4</v>
      </c>
      <c r="U190">
        <f t="shared" si="33"/>
        <v>4</v>
      </c>
      <c r="W190">
        <f t="shared" si="34"/>
        <v>9999.0102999999272</v>
      </c>
      <c r="Y190">
        <f t="shared" si="35"/>
        <v>4.0013499999999489</v>
      </c>
      <c r="Z190">
        <f t="shared" si="36"/>
        <v>4.0010399999999606</v>
      </c>
      <c r="AA190" t="str">
        <f t="shared" si="37"/>
        <v/>
      </c>
      <c r="AB190" t="str">
        <f t="shared" si="40"/>
        <v/>
      </c>
    </row>
    <row r="191" spans="1:28">
      <c r="A191">
        <f t="shared" si="38"/>
        <v>183</v>
      </c>
      <c r="B191">
        <f t="shared" si="26"/>
        <v>365</v>
      </c>
      <c r="C191" s="5"/>
      <c r="D191" s="6"/>
      <c r="E191" s="207"/>
      <c r="F191" s="207"/>
      <c r="I191" s="120" t="str">
        <f t="shared" si="39"/>
        <v/>
      </c>
      <c r="Q191">
        <f t="shared" si="29"/>
        <v>0</v>
      </c>
      <c r="R191">
        <f t="shared" si="30"/>
        <v>3</v>
      </c>
      <c r="S191">
        <f t="shared" si="31"/>
        <v>2</v>
      </c>
      <c r="T191">
        <f t="shared" si="32"/>
        <v>4</v>
      </c>
      <c r="U191">
        <f t="shared" si="33"/>
        <v>4</v>
      </c>
      <c r="W191">
        <f t="shared" si="34"/>
        <v>9999.0103999999264</v>
      </c>
      <c r="Y191">
        <f t="shared" si="35"/>
        <v>4.0013599999999485</v>
      </c>
      <c r="Z191">
        <f t="shared" si="36"/>
        <v>4.0010499999999602</v>
      </c>
      <c r="AA191" t="str">
        <f t="shared" si="37"/>
        <v/>
      </c>
      <c r="AB191" t="str">
        <f t="shared" si="40"/>
        <v/>
      </c>
    </row>
    <row r="192" spans="1:28">
      <c r="A192">
        <f t="shared" si="38"/>
        <v>184</v>
      </c>
      <c r="B192">
        <f t="shared" si="26"/>
        <v>367</v>
      </c>
      <c r="C192" s="5"/>
      <c r="D192" s="6"/>
      <c r="E192" s="207"/>
      <c r="F192" s="207"/>
      <c r="I192" s="120" t="str">
        <f t="shared" si="39"/>
        <v/>
      </c>
      <c r="Q192">
        <f t="shared" si="29"/>
        <v>0</v>
      </c>
      <c r="R192">
        <f t="shared" si="30"/>
        <v>3</v>
      </c>
      <c r="S192">
        <f t="shared" si="31"/>
        <v>2</v>
      </c>
      <c r="T192">
        <f t="shared" si="32"/>
        <v>4</v>
      </c>
      <c r="U192">
        <f t="shared" si="33"/>
        <v>4</v>
      </c>
      <c r="W192">
        <f t="shared" si="34"/>
        <v>9999.0104999999257</v>
      </c>
      <c r="Y192">
        <f t="shared" si="35"/>
        <v>4.0013699999999481</v>
      </c>
      <c r="Z192">
        <f t="shared" si="36"/>
        <v>4.0010599999999599</v>
      </c>
      <c r="AA192" t="str">
        <f t="shared" si="37"/>
        <v/>
      </c>
      <c r="AB192" t="str">
        <f t="shared" si="40"/>
        <v/>
      </c>
    </row>
    <row r="193" spans="1:28">
      <c r="A193">
        <f t="shared" si="38"/>
        <v>185</v>
      </c>
      <c r="B193">
        <f t="shared" si="26"/>
        <v>369</v>
      </c>
      <c r="C193" s="5"/>
      <c r="D193" s="6"/>
      <c r="E193" s="207"/>
      <c r="F193" s="207"/>
      <c r="I193" s="120" t="str">
        <f t="shared" si="39"/>
        <v/>
      </c>
      <c r="Q193">
        <f t="shared" si="29"/>
        <v>0</v>
      </c>
      <c r="R193">
        <f t="shared" si="30"/>
        <v>3</v>
      </c>
      <c r="S193">
        <f t="shared" si="31"/>
        <v>2</v>
      </c>
      <c r="T193">
        <f t="shared" si="32"/>
        <v>4</v>
      </c>
      <c r="U193">
        <f t="shared" si="33"/>
        <v>4</v>
      </c>
      <c r="W193">
        <f t="shared" si="34"/>
        <v>9999.010599999925</v>
      </c>
      <c r="Y193">
        <f t="shared" si="35"/>
        <v>4.0013799999999478</v>
      </c>
      <c r="Z193">
        <f t="shared" si="36"/>
        <v>4.0010699999999595</v>
      </c>
      <c r="AA193" t="str">
        <f t="shared" si="37"/>
        <v/>
      </c>
      <c r="AB193" t="str">
        <f t="shared" si="40"/>
        <v/>
      </c>
    </row>
    <row r="194" spans="1:28">
      <c r="A194">
        <f t="shared" si="38"/>
        <v>186</v>
      </c>
      <c r="B194">
        <f t="shared" si="26"/>
        <v>371</v>
      </c>
      <c r="C194" s="5"/>
      <c r="D194" s="6"/>
      <c r="E194" s="207"/>
      <c r="F194" s="207"/>
      <c r="I194" s="120" t="str">
        <f t="shared" si="39"/>
        <v/>
      </c>
      <c r="Q194">
        <f t="shared" si="29"/>
        <v>0</v>
      </c>
      <c r="R194">
        <f t="shared" si="30"/>
        <v>3</v>
      </c>
      <c r="S194">
        <f t="shared" si="31"/>
        <v>2</v>
      </c>
      <c r="T194">
        <f t="shared" si="32"/>
        <v>4</v>
      </c>
      <c r="U194">
        <f t="shared" si="33"/>
        <v>4</v>
      </c>
      <c r="W194">
        <f t="shared" si="34"/>
        <v>9999.0106999999243</v>
      </c>
      <c r="Y194">
        <f t="shared" si="35"/>
        <v>4.0013899999999474</v>
      </c>
      <c r="Z194">
        <f t="shared" si="36"/>
        <v>4.0010799999999591</v>
      </c>
      <c r="AA194" t="str">
        <f t="shared" si="37"/>
        <v/>
      </c>
      <c r="AB194" t="str">
        <f t="shared" si="40"/>
        <v/>
      </c>
    </row>
    <row r="195" spans="1:28">
      <c r="A195">
        <f t="shared" si="38"/>
        <v>187</v>
      </c>
      <c r="B195">
        <f t="shared" si="26"/>
        <v>373</v>
      </c>
      <c r="C195" s="5"/>
      <c r="D195" s="6"/>
      <c r="E195" s="207"/>
      <c r="F195" s="207"/>
      <c r="I195" s="120" t="str">
        <f t="shared" si="39"/>
        <v/>
      </c>
      <c r="Q195">
        <f t="shared" si="29"/>
        <v>0</v>
      </c>
      <c r="R195">
        <f t="shared" si="30"/>
        <v>3</v>
      </c>
      <c r="S195">
        <f t="shared" si="31"/>
        <v>2</v>
      </c>
      <c r="T195">
        <f t="shared" si="32"/>
        <v>4</v>
      </c>
      <c r="U195">
        <f t="shared" si="33"/>
        <v>4</v>
      </c>
      <c r="W195">
        <f t="shared" si="34"/>
        <v>9999.0107999999236</v>
      </c>
      <c r="Y195">
        <f t="shared" si="35"/>
        <v>4.001399999999947</v>
      </c>
      <c r="Z195">
        <f t="shared" si="36"/>
        <v>4.0010899999999587</v>
      </c>
      <c r="AA195" t="str">
        <f t="shared" si="37"/>
        <v/>
      </c>
      <c r="AB195" t="str">
        <f t="shared" si="40"/>
        <v/>
      </c>
    </row>
    <row r="196" spans="1:28">
      <c r="A196">
        <f t="shared" si="38"/>
        <v>188</v>
      </c>
      <c r="B196">
        <f t="shared" si="26"/>
        <v>375</v>
      </c>
      <c r="C196" s="5"/>
      <c r="D196" s="6"/>
      <c r="E196" s="207"/>
      <c r="F196" s="207"/>
      <c r="I196" s="120" t="str">
        <f t="shared" si="39"/>
        <v/>
      </c>
      <c r="Q196">
        <f t="shared" ref="Q196:Q277" si="41">E196</f>
        <v>0</v>
      </c>
      <c r="R196">
        <f t="shared" ref="R196:R229" si="42">IF(OR(AND(D196&lt;&gt;"",C197="",C198=$C$3),AND(D196&lt;&gt;"",C197=$C$3)),R195+1,R195)</f>
        <v>3</v>
      </c>
      <c r="S196">
        <f t="shared" ref="S196:S229" si="43">IF(OR(AND(D196&lt;&gt;"",C197="",C198=$C$4),AND(D196&lt;&gt;"",C197=$C$4)),S195+1,S195)</f>
        <v>2</v>
      </c>
      <c r="T196">
        <f t="shared" ref="T196:T229" si="44">IF(OR(AND(D196&lt;&gt;"",C197="",C198=$C$5),AND(D196&lt;&gt;"",C197=$C$5)),T195+1,T195)</f>
        <v>4</v>
      </c>
      <c r="U196">
        <f t="shared" ref="U196:U229" si="45">IF(OR(AND(D196&lt;&gt;"",C197="",C198=$C$6),AND(D196&lt;&gt;"",C197=$C$6)),U195+1,U195)</f>
        <v>4</v>
      </c>
      <c r="W196">
        <f t="shared" ref="W196:W277" si="46">IF(E196="",W195+0.0001,E196)</f>
        <v>9999.0108999999229</v>
      </c>
      <c r="Y196">
        <f t="shared" si="35"/>
        <v>4.0014099999999466</v>
      </c>
      <c r="Z196">
        <f t="shared" si="36"/>
        <v>4.0010999999999584</v>
      </c>
      <c r="AA196" t="str">
        <f t="shared" si="37"/>
        <v/>
      </c>
      <c r="AB196" t="str">
        <f t="shared" si="40"/>
        <v/>
      </c>
    </row>
    <row r="197" spans="1:28">
      <c r="A197">
        <f t="shared" si="38"/>
        <v>189</v>
      </c>
      <c r="B197">
        <f t="shared" si="26"/>
        <v>377</v>
      </c>
      <c r="C197" s="5"/>
      <c r="D197" s="6"/>
      <c r="E197" s="207"/>
      <c r="F197" s="207"/>
      <c r="I197" s="120" t="str">
        <f t="shared" si="39"/>
        <v/>
      </c>
      <c r="Q197">
        <f t="shared" si="41"/>
        <v>0</v>
      </c>
      <c r="R197">
        <f t="shared" si="42"/>
        <v>3</v>
      </c>
      <c r="S197">
        <f t="shared" si="43"/>
        <v>2</v>
      </c>
      <c r="T197">
        <f t="shared" si="44"/>
        <v>4</v>
      </c>
      <c r="U197">
        <f t="shared" si="45"/>
        <v>4</v>
      </c>
      <c r="W197">
        <f t="shared" si="46"/>
        <v>9999.0109999999222</v>
      </c>
      <c r="Y197">
        <f t="shared" si="35"/>
        <v>4.0014199999999462</v>
      </c>
      <c r="Z197">
        <f t="shared" si="36"/>
        <v>4.001109999999958</v>
      </c>
      <c r="AA197" t="str">
        <f t="shared" si="37"/>
        <v/>
      </c>
      <c r="AB197" t="str">
        <f t="shared" si="40"/>
        <v/>
      </c>
    </row>
    <row r="198" spans="1:28">
      <c r="A198">
        <f t="shared" si="38"/>
        <v>190</v>
      </c>
      <c r="B198">
        <f t="shared" si="26"/>
        <v>379</v>
      </c>
      <c r="C198" s="5"/>
      <c r="D198" s="6"/>
      <c r="E198" s="207"/>
      <c r="F198" s="207"/>
      <c r="I198" s="120" t="str">
        <f t="shared" si="39"/>
        <v/>
      </c>
      <c r="Q198">
        <f t="shared" si="41"/>
        <v>0</v>
      </c>
      <c r="R198">
        <f t="shared" si="42"/>
        <v>3</v>
      </c>
      <c r="S198">
        <f t="shared" si="43"/>
        <v>2</v>
      </c>
      <c r="T198">
        <f t="shared" si="44"/>
        <v>4</v>
      </c>
      <c r="U198">
        <f t="shared" si="45"/>
        <v>4</v>
      </c>
      <c r="W198">
        <f t="shared" si="46"/>
        <v>9999.0110999999215</v>
      </c>
      <c r="Y198">
        <f t="shared" si="35"/>
        <v>4.0014299999999459</v>
      </c>
      <c r="Z198">
        <f t="shared" si="36"/>
        <v>4.0011199999999576</v>
      </c>
      <c r="AA198" t="str">
        <f t="shared" si="37"/>
        <v/>
      </c>
      <c r="AB198" t="str">
        <f t="shared" si="40"/>
        <v/>
      </c>
    </row>
    <row r="199" spans="1:28">
      <c r="A199">
        <f t="shared" si="38"/>
        <v>191</v>
      </c>
      <c r="B199">
        <f t="shared" si="26"/>
        <v>381</v>
      </c>
      <c r="C199" s="5"/>
      <c r="D199" s="6"/>
      <c r="E199" s="207"/>
      <c r="F199" s="207"/>
      <c r="I199" s="120" t="str">
        <f t="shared" si="39"/>
        <v/>
      </c>
      <c r="Q199">
        <f t="shared" si="41"/>
        <v>0</v>
      </c>
      <c r="R199">
        <f t="shared" si="42"/>
        <v>3</v>
      </c>
      <c r="S199">
        <f t="shared" si="43"/>
        <v>2</v>
      </c>
      <c r="T199">
        <f t="shared" si="44"/>
        <v>4</v>
      </c>
      <c r="U199">
        <f t="shared" si="45"/>
        <v>4</v>
      </c>
      <c r="W199">
        <f t="shared" si="46"/>
        <v>9999.0111999999208</v>
      </c>
      <c r="Y199">
        <f t="shared" si="35"/>
        <v>4.0014399999999455</v>
      </c>
      <c r="Z199">
        <f t="shared" si="36"/>
        <v>4.0011299999999572</v>
      </c>
      <c r="AA199" t="str">
        <f t="shared" si="37"/>
        <v/>
      </c>
      <c r="AB199" t="str">
        <f t="shared" si="40"/>
        <v/>
      </c>
    </row>
    <row r="200" spans="1:28">
      <c r="A200">
        <f t="shared" si="38"/>
        <v>192</v>
      </c>
      <c r="B200">
        <f t="shared" si="26"/>
        <v>383</v>
      </c>
      <c r="C200" s="5"/>
      <c r="D200" s="6"/>
      <c r="E200" s="207"/>
      <c r="F200" s="207"/>
      <c r="I200" s="120" t="str">
        <f t="shared" si="39"/>
        <v/>
      </c>
      <c r="Q200">
        <f t="shared" si="41"/>
        <v>0</v>
      </c>
      <c r="R200">
        <f t="shared" si="42"/>
        <v>3</v>
      </c>
      <c r="S200">
        <f t="shared" si="43"/>
        <v>2</v>
      </c>
      <c r="T200">
        <f t="shared" si="44"/>
        <v>4</v>
      </c>
      <c r="U200">
        <f t="shared" si="45"/>
        <v>4</v>
      </c>
      <c r="W200">
        <f t="shared" si="46"/>
        <v>9999.0112999999201</v>
      </c>
      <c r="Y200">
        <f t="shared" si="35"/>
        <v>4.0014499999999451</v>
      </c>
      <c r="Z200">
        <f t="shared" si="36"/>
        <v>4.0011399999999568</v>
      </c>
      <c r="AA200" t="str">
        <f t="shared" si="37"/>
        <v/>
      </c>
      <c r="AB200" t="str">
        <f t="shared" si="40"/>
        <v/>
      </c>
    </row>
    <row r="201" spans="1:28">
      <c r="A201">
        <f t="shared" si="38"/>
        <v>193</v>
      </c>
      <c r="B201">
        <f t="shared" si="26"/>
        <v>385</v>
      </c>
      <c r="C201" s="5"/>
      <c r="D201" s="6"/>
      <c r="E201" s="207"/>
      <c r="F201" s="207"/>
      <c r="I201" s="120" t="str">
        <f t="shared" si="39"/>
        <v/>
      </c>
      <c r="Q201">
        <f t="shared" si="41"/>
        <v>0</v>
      </c>
      <c r="R201">
        <f t="shared" si="42"/>
        <v>3</v>
      </c>
      <c r="S201">
        <f t="shared" si="43"/>
        <v>2</v>
      </c>
      <c r="T201">
        <f t="shared" si="44"/>
        <v>4</v>
      </c>
      <c r="U201">
        <f t="shared" si="45"/>
        <v>4</v>
      </c>
      <c r="W201">
        <f t="shared" si="46"/>
        <v>9999.0113999999194</v>
      </c>
      <c r="Y201">
        <f t="shared" si="35"/>
        <v>4.0014599999999447</v>
      </c>
      <c r="Z201">
        <f t="shared" si="36"/>
        <v>4.0011499999999565</v>
      </c>
      <c r="AA201" t="str">
        <f t="shared" si="37"/>
        <v/>
      </c>
      <c r="AB201" t="str">
        <f t="shared" si="40"/>
        <v/>
      </c>
    </row>
    <row r="202" spans="1:28">
      <c r="A202">
        <f t="shared" si="38"/>
        <v>194</v>
      </c>
      <c r="B202">
        <f t="shared" si="26"/>
        <v>387</v>
      </c>
      <c r="C202" s="5"/>
      <c r="D202" s="6"/>
      <c r="E202" s="207"/>
      <c r="F202" s="207"/>
      <c r="I202" s="120" t="str">
        <f t="shared" si="39"/>
        <v/>
      </c>
      <c r="Q202">
        <f t="shared" si="41"/>
        <v>0</v>
      </c>
      <c r="R202">
        <f t="shared" si="42"/>
        <v>3</v>
      </c>
      <c r="S202">
        <f t="shared" si="43"/>
        <v>2</v>
      </c>
      <c r="T202">
        <f t="shared" si="44"/>
        <v>4</v>
      </c>
      <c r="U202">
        <f t="shared" si="45"/>
        <v>4</v>
      </c>
      <c r="W202">
        <f t="shared" si="46"/>
        <v>9999.0114999999187</v>
      </c>
      <c r="Y202">
        <f t="shared" ref="Y202:Y265" si="47">IF(T202-T201=0,Y201+0.00001,T202)</f>
        <v>4.0014699999999443</v>
      </c>
      <c r="Z202">
        <f t="shared" ref="Z202:Z265" si="48">IF(U202-U201=0,Z201+0.00001,U202)</f>
        <v>4.0011599999999561</v>
      </c>
      <c r="AA202" t="str">
        <f t="shared" ref="AA202:AA265" si="49">IF(T202-T201=0,"",D202)</f>
        <v/>
      </c>
      <c r="AB202" t="str">
        <f t="shared" si="40"/>
        <v/>
      </c>
    </row>
    <row r="203" spans="1:28">
      <c r="A203">
        <f t="shared" ref="A203:A278" si="50">A202+1</f>
        <v>195</v>
      </c>
      <c r="B203">
        <f t="shared" si="26"/>
        <v>389</v>
      </c>
      <c r="C203" s="5"/>
      <c r="D203" s="6"/>
      <c r="E203" s="207"/>
      <c r="F203" s="207"/>
      <c r="I203" s="120" t="str">
        <f t="shared" si="39"/>
        <v/>
      </c>
      <c r="Q203">
        <f t="shared" si="41"/>
        <v>0</v>
      </c>
      <c r="R203">
        <f t="shared" si="42"/>
        <v>3</v>
      </c>
      <c r="S203">
        <f t="shared" si="43"/>
        <v>2</v>
      </c>
      <c r="T203">
        <f t="shared" si="44"/>
        <v>4</v>
      </c>
      <c r="U203">
        <f t="shared" si="45"/>
        <v>4</v>
      </c>
      <c r="W203">
        <f t="shared" si="46"/>
        <v>9999.011599999918</v>
      </c>
      <c r="Y203">
        <f t="shared" si="47"/>
        <v>4.001479999999944</v>
      </c>
      <c r="Z203">
        <f t="shared" si="48"/>
        <v>4.0011699999999557</v>
      </c>
      <c r="AA203" t="str">
        <f t="shared" si="49"/>
        <v/>
      </c>
      <c r="AB203" t="str">
        <f t="shared" si="40"/>
        <v/>
      </c>
    </row>
    <row r="204" spans="1:28">
      <c r="A204">
        <f t="shared" si="50"/>
        <v>196</v>
      </c>
      <c r="B204">
        <f t="shared" si="26"/>
        <v>391</v>
      </c>
      <c r="C204" s="5"/>
      <c r="D204" s="6"/>
      <c r="E204" s="207"/>
      <c r="F204" s="207"/>
      <c r="I204" s="120" t="str">
        <f t="shared" si="39"/>
        <v/>
      </c>
      <c r="Q204">
        <f t="shared" si="41"/>
        <v>0</v>
      </c>
      <c r="R204">
        <f t="shared" si="42"/>
        <v>3</v>
      </c>
      <c r="S204">
        <f t="shared" si="43"/>
        <v>2</v>
      </c>
      <c r="T204">
        <f t="shared" si="44"/>
        <v>4</v>
      </c>
      <c r="U204">
        <f t="shared" si="45"/>
        <v>4</v>
      </c>
      <c r="W204">
        <f t="shared" si="46"/>
        <v>9999.0116999999173</v>
      </c>
      <c r="Y204">
        <f t="shared" si="47"/>
        <v>4.0014899999999436</v>
      </c>
      <c r="Z204">
        <f t="shared" si="48"/>
        <v>4.0011799999999553</v>
      </c>
      <c r="AA204" t="str">
        <f t="shared" si="49"/>
        <v/>
      </c>
      <c r="AB204" t="str">
        <f t="shared" si="40"/>
        <v/>
      </c>
    </row>
    <row r="205" spans="1:28">
      <c r="A205">
        <f t="shared" si="50"/>
        <v>197</v>
      </c>
      <c r="B205">
        <f t="shared" si="26"/>
        <v>393</v>
      </c>
      <c r="C205" s="5"/>
      <c r="D205" s="6"/>
      <c r="E205" s="207"/>
      <c r="F205" s="207"/>
      <c r="I205" s="120" t="str">
        <f t="shared" si="39"/>
        <v/>
      </c>
      <c r="Q205">
        <f t="shared" si="41"/>
        <v>0</v>
      </c>
      <c r="R205">
        <f t="shared" si="42"/>
        <v>3</v>
      </c>
      <c r="S205">
        <f t="shared" si="43"/>
        <v>2</v>
      </c>
      <c r="T205">
        <f t="shared" si="44"/>
        <v>4</v>
      </c>
      <c r="U205">
        <f t="shared" si="45"/>
        <v>4</v>
      </c>
      <c r="W205">
        <f t="shared" si="46"/>
        <v>9999.0117999999165</v>
      </c>
      <c r="Y205">
        <f t="shared" si="47"/>
        <v>4.0014999999999432</v>
      </c>
      <c r="Z205">
        <f t="shared" si="48"/>
        <v>4.0011899999999549</v>
      </c>
      <c r="AA205" t="str">
        <f t="shared" si="49"/>
        <v/>
      </c>
      <c r="AB205" t="str">
        <f t="shared" si="40"/>
        <v/>
      </c>
    </row>
    <row r="206" spans="1:28">
      <c r="A206">
        <f t="shared" si="50"/>
        <v>198</v>
      </c>
      <c r="B206">
        <f t="shared" si="26"/>
        <v>395</v>
      </c>
      <c r="C206" s="5"/>
      <c r="D206" s="6"/>
      <c r="E206" s="207"/>
      <c r="F206" s="207"/>
      <c r="I206" s="120" t="str">
        <f t="shared" si="39"/>
        <v/>
      </c>
      <c r="Q206">
        <f t="shared" si="41"/>
        <v>0</v>
      </c>
      <c r="R206">
        <f t="shared" si="42"/>
        <v>3</v>
      </c>
      <c r="S206">
        <f t="shared" si="43"/>
        <v>2</v>
      </c>
      <c r="T206">
        <f t="shared" si="44"/>
        <v>4</v>
      </c>
      <c r="U206">
        <f t="shared" si="45"/>
        <v>4</v>
      </c>
      <c r="W206">
        <f t="shared" si="46"/>
        <v>9999.0118999999158</v>
      </c>
      <c r="Y206">
        <f t="shared" si="47"/>
        <v>4.0015099999999428</v>
      </c>
      <c r="Z206">
        <f t="shared" si="48"/>
        <v>4.0011999999999546</v>
      </c>
      <c r="AA206" t="str">
        <f t="shared" si="49"/>
        <v/>
      </c>
      <c r="AB206" t="str">
        <f t="shared" si="40"/>
        <v/>
      </c>
    </row>
    <row r="207" spans="1:28">
      <c r="A207">
        <f t="shared" si="50"/>
        <v>199</v>
      </c>
      <c r="B207">
        <f t="shared" si="26"/>
        <v>397</v>
      </c>
      <c r="C207" s="5"/>
      <c r="D207" s="6"/>
      <c r="E207" s="207"/>
      <c r="F207" s="207"/>
      <c r="I207" s="120" t="str">
        <f t="shared" si="39"/>
        <v/>
      </c>
      <c r="Q207">
        <f t="shared" si="41"/>
        <v>0</v>
      </c>
      <c r="R207">
        <f t="shared" si="42"/>
        <v>3</v>
      </c>
      <c r="S207">
        <f t="shared" si="43"/>
        <v>2</v>
      </c>
      <c r="T207">
        <f t="shared" si="44"/>
        <v>4</v>
      </c>
      <c r="U207">
        <f t="shared" si="45"/>
        <v>4</v>
      </c>
      <c r="W207">
        <f t="shared" si="46"/>
        <v>9999.0119999999151</v>
      </c>
      <c r="Y207">
        <f t="shared" si="47"/>
        <v>4.0015199999999425</v>
      </c>
      <c r="Z207">
        <f t="shared" si="48"/>
        <v>4.0012099999999542</v>
      </c>
      <c r="AA207" t="str">
        <f t="shared" si="49"/>
        <v/>
      </c>
      <c r="AB207" t="str">
        <f t="shared" si="40"/>
        <v/>
      </c>
    </row>
    <row r="208" spans="1:28">
      <c r="A208">
        <f t="shared" si="50"/>
        <v>200</v>
      </c>
      <c r="B208">
        <f t="shared" si="26"/>
        <v>399</v>
      </c>
      <c r="C208" s="5"/>
      <c r="D208" s="6"/>
      <c r="E208" s="207"/>
      <c r="F208" s="207"/>
      <c r="I208" s="120" t="str">
        <f t="shared" ref="I208:I271" si="51">IF(AND(AND(C208="",D208="",E208="",F208=""),OR(C209&lt;&gt;"",D209&lt;&gt;"")),"Bitte diese Zeile nicht leer lassen",IF(AND(D208&lt;&gt;"",OR(C208&lt;&gt;"",E208&lt;&gt;"",F208&lt;&gt;"")),"Bitte Zeile nur als Titelzeile (Spalte D) oder als Kontozeile (andere Spalten) verwenden",IF(E208="","",IF(AND(E208&lt;&gt;"",F208&lt;&gt;"",C208=""),"Bitte gültige Kontokategorie (s. oben) zuweisen",IF(OR(E208&lt;=E207,E208&lt;=E206),"Kontonummern müssen aufsteigend eingegeben werden.",IF(OR(E208&lt;1000,E208&gt;9999),CONCATENATE(E208," auf Spalte F ist keine vierstellige Kontonummer"),IF(OR(C208=C$3,C208=C$4,C208=C$5,C208=C$6),"","Bitte gültige Kontokategorie eingeben")))))))</f>
        <v/>
      </c>
      <c r="Q208">
        <f t="shared" si="41"/>
        <v>0</v>
      </c>
      <c r="R208">
        <f t="shared" si="42"/>
        <v>3</v>
      </c>
      <c r="S208">
        <f t="shared" si="43"/>
        <v>2</v>
      </c>
      <c r="T208">
        <f t="shared" si="44"/>
        <v>4</v>
      </c>
      <c r="U208">
        <f t="shared" si="45"/>
        <v>4</v>
      </c>
      <c r="W208">
        <f t="shared" si="46"/>
        <v>9999.0120999999144</v>
      </c>
      <c r="Y208">
        <f t="shared" si="47"/>
        <v>4.0015299999999421</v>
      </c>
      <c r="Z208">
        <f t="shared" si="48"/>
        <v>4.0012199999999538</v>
      </c>
      <c r="AA208" t="str">
        <f t="shared" si="49"/>
        <v/>
      </c>
      <c r="AB208" t="str">
        <f t="shared" si="40"/>
        <v/>
      </c>
    </row>
    <row r="209" spans="1:28">
      <c r="A209">
        <f t="shared" si="50"/>
        <v>201</v>
      </c>
      <c r="B209">
        <f t="shared" si="26"/>
        <v>401</v>
      </c>
      <c r="C209" s="5"/>
      <c r="D209" s="6"/>
      <c r="E209" s="207"/>
      <c r="F209" s="207"/>
      <c r="I209" s="120" t="str">
        <f t="shared" si="51"/>
        <v/>
      </c>
      <c r="Q209">
        <f t="shared" si="41"/>
        <v>0</v>
      </c>
      <c r="R209">
        <f t="shared" si="42"/>
        <v>3</v>
      </c>
      <c r="S209">
        <f t="shared" si="43"/>
        <v>2</v>
      </c>
      <c r="T209">
        <f t="shared" si="44"/>
        <v>4</v>
      </c>
      <c r="U209">
        <f t="shared" si="45"/>
        <v>4</v>
      </c>
      <c r="W209">
        <f t="shared" si="46"/>
        <v>9999.0121999999137</v>
      </c>
      <c r="Y209">
        <f t="shared" si="47"/>
        <v>4.0015399999999417</v>
      </c>
      <c r="Z209">
        <f t="shared" si="48"/>
        <v>4.0012299999999534</v>
      </c>
      <c r="AA209" t="str">
        <f t="shared" si="49"/>
        <v/>
      </c>
      <c r="AB209" t="str">
        <f t="shared" si="40"/>
        <v/>
      </c>
    </row>
    <row r="210" spans="1:28">
      <c r="A210">
        <f t="shared" si="50"/>
        <v>202</v>
      </c>
      <c r="B210">
        <f t="shared" si="26"/>
        <v>403</v>
      </c>
      <c r="C210" s="5"/>
      <c r="D210" s="6"/>
      <c r="E210" s="207"/>
      <c r="F210" s="207"/>
      <c r="I210" s="120" t="str">
        <f t="shared" si="51"/>
        <v/>
      </c>
      <c r="Q210">
        <f t="shared" si="41"/>
        <v>0</v>
      </c>
      <c r="R210">
        <f t="shared" si="42"/>
        <v>3</v>
      </c>
      <c r="S210">
        <f t="shared" si="43"/>
        <v>2</v>
      </c>
      <c r="T210">
        <f t="shared" si="44"/>
        <v>4</v>
      </c>
      <c r="U210">
        <f t="shared" si="45"/>
        <v>4</v>
      </c>
      <c r="W210">
        <f t="shared" si="46"/>
        <v>9999.012299999913</v>
      </c>
      <c r="Y210">
        <f t="shared" si="47"/>
        <v>4.0015499999999413</v>
      </c>
      <c r="Z210">
        <f t="shared" si="48"/>
        <v>4.0012399999999531</v>
      </c>
      <c r="AA210" t="str">
        <f t="shared" si="49"/>
        <v/>
      </c>
      <c r="AB210" t="str">
        <f t="shared" si="40"/>
        <v/>
      </c>
    </row>
    <row r="211" spans="1:28">
      <c r="A211">
        <f t="shared" si="50"/>
        <v>203</v>
      </c>
      <c r="B211">
        <f t="shared" si="26"/>
        <v>405</v>
      </c>
      <c r="C211" s="5"/>
      <c r="D211" s="6"/>
      <c r="E211" s="207"/>
      <c r="F211" s="207"/>
      <c r="I211" s="120" t="str">
        <f t="shared" si="51"/>
        <v/>
      </c>
      <c r="Q211">
        <f t="shared" si="41"/>
        <v>0</v>
      </c>
      <c r="R211">
        <f t="shared" si="42"/>
        <v>3</v>
      </c>
      <c r="S211">
        <f t="shared" si="43"/>
        <v>2</v>
      </c>
      <c r="T211">
        <f t="shared" si="44"/>
        <v>4</v>
      </c>
      <c r="U211">
        <f t="shared" si="45"/>
        <v>4</v>
      </c>
      <c r="W211">
        <f t="shared" si="46"/>
        <v>9999.0123999999123</v>
      </c>
      <c r="Y211">
        <f t="shared" si="47"/>
        <v>4.0015599999999409</v>
      </c>
      <c r="Z211">
        <f t="shared" si="48"/>
        <v>4.0012499999999527</v>
      </c>
      <c r="AA211" t="str">
        <f t="shared" si="49"/>
        <v/>
      </c>
      <c r="AB211" t="str">
        <f t="shared" si="40"/>
        <v/>
      </c>
    </row>
    <row r="212" spans="1:28">
      <c r="A212">
        <f t="shared" si="50"/>
        <v>204</v>
      </c>
      <c r="B212">
        <f t="shared" si="26"/>
        <v>407</v>
      </c>
      <c r="C212" s="5"/>
      <c r="D212" s="6"/>
      <c r="E212" s="207"/>
      <c r="F212" s="207"/>
      <c r="I212" s="120" t="str">
        <f t="shared" si="51"/>
        <v/>
      </c>
      <c r="Q212">
        <f t="shared" si="41"/>
        <v>0</v>
      </c>
      <c r="R212">
        <f t="shared" si="42"/>
        <v>3</v>
      </c>
      <c r="S212">
        <f t="shared" si="43"/>
        <v>2</v>
      </c>
      <c r="T212">
        <f t="shared" si="44"/>
        <v>4</v>
      </c>
      <c r="U212">
        <f t="shared" si="45"/>
        <v>4</v>
      </c>
      <c r="W212">
        <f t="shared" si="46"/>
        <v>9999.0124999999116</v>
      </c>
      <c r="Y212">
        <f t="shared" si="47"/>
        <v>4.0015699999999406</v>
      </c>
      <c r="Z212">
        <f t="shared" si="48"/>
        <v>4.0012599999999523</v>
      </c>
      <c r="AA212" t="str">
        <f t="shared" si="49"/>
        <v/>
      </c>
      <c r="AB212" t="str">
        <f t="shared" si="40"/>
        <v/>
      </c>
    </row>
    <row r="213" spans="1:28">
      <c r="A213">
        <f t="shared" si="50"/>
        <v>205</v>
      </c>
      <c r="B213">
        <f t="shared" si="26"/>
        <v>409</v>
      </c>
      <c r="C213" s="5"/>
      <c r="D213" s="6"/>
      <c r="E213" s="207"/>
      <c r="F213" s="207"/>
      <c r="I213" s="120" t="str">
        <f t="shared" si="51"/>
        <v/>
      </c>
      <c r="Q213">
        <f t="shared" si="41"/>
        <v>0</v>
      </c>
      <c r="R213">
        <f t="shared" si="42"/>
        <v>3</v>
      </c>
      <c r="S213">
        <f t="shared" si="43"/>
        <v>2</v>
      </c>
      <c r="T213">
        <f t="shared" si="44"/>
        <v>4</v>
      </c>
      <c r="U213">
        <f t="shared" si="45"/>
        <v>4</v>
      </c>
      <c r="W213">
        <f t="shared" si="46"/>
        <v>9999.0125999999109</v>
      </c>
      <c r="Y213">
        <f t="shared" si="47"/>
        <v>4.0015799999999402</v>
      </c>
      <c r="Z213">
        <f t="shared" si="48"/>
        <v>4.0012699999999519</v>
      </c>
      <c r="AA213" t="str">
        <f t="shared" si="49"/>
        <v/>
      </c>
      <c r="AB213" t="str">
        <f t="shared" si="40"/>
        <v/>
      </c>
    </row>
    <row r="214" spans="1:28">
      <c r="A214">
        <f t="shared" si="50"/>
        <v>206</v>
      </c>
      <c r="B214">
        <f t="shared" si="26"/>
        <v>411</v>
      </c>
      <c r="C214" s="5"/>
      <c r="D214" s="6"/>
      <c r="E214" s="207"/>
      <c r="F214" s="207"/>
      <c r="I214" s="120" t="str">
        <f t="shared" si="51"/>
        <v/>
      </c>
      <c r="Q214">
        <f t="shared" si="41"/>
        <v>0</v>
      </c>
      <c r="R214">
        <f t="shared" si="42"/>
        <v>3</v>
      </c>
      <c r="S214">
        <f t="shared" si="43"/>
        <v>2</v>
      </c>
      <c r="T214">
        <f t="shared" si="44"/>
        <v>4</v>
      </c>
      <c r="U214">
        <f t="shared" si="45"/>
        <v>4</v>
      </c>
      <c r="W214">
        <f t="shared" si="46"/>
        <v>9999.0126999999102</v>
      </c>
      <c r="Y214">
        <f t="shared" si="47"/>
        <v>4.0015899999999398</v>
      </c>
      <c r="Z214">
        <f t="shared" si="48"/>
        <v>4.0012799999999515</v>
      </c>
      <c r="AA214" t="str">
        <f t="shared" si="49"/>
        <v/>
      </c>
      <c r="AB214" t="str">
        <f t="shared" si="40"/>
        <v/>
      </c>
    </row>
    <row r="215" spans="1:28">
      <c r="A215">
        <f t="shared" si="50"/>
        <v>207</v>
      </c>
      <c r="B215">
        <f t="shared" si="26"/>
        <v>413</v>
      </c>
      <c r="C215" s="5"/>
      <c r="D215" s="6"/>
      <c r="E215" s="207"/>
      <c r="F215" s="207"/>
      <c r="I215" s="120" t="str">
        <f t="shared" si="51"/>
        <v/>
      </c>
      <c r="Q215">
        <f t="shared" si="41"/>
        <v>0</v>
      </c>
      <c r="R215">
        <f t="shared" si="42"/>
        <v>3</v>
      </c>
      <c r="S215">
        <f t="shared" si="43"/>
        <v>2</v>
      </c>
      <c r="T215">
        <f t="shared" si="44"/>
        <v>4</v>
      </c>
      <c r="U215">
        <f t="shared" si="45"/>
        <v>4</v>
      </c>
      <c r="W215">
        <f t="shared" si="46"/>
        <v>9999.0127999999095</v>
      </c>
      <c r="Y215">
        <f t="shared" si="47"/>
        <v>4.0015999999999394</v>
      </c>
      <c r="Z215">
        <f t="shared" si="48"/>
        <v>4.0012899999999512</v>
      </c>
      <c r="AA215" t="str">
        <f t="shared" si="49"/>
        <v/>
      </c>
      <c r="AB215" t="str">
        <f t="shared" si="40"/>
        <v/>
      </c>
    </row>
    <row r="216" spans="1:28">
      <c r="A216">
        <f t="shared" si="50"/>
        <v>208</v>
      </c>
      <c r="B216">
        <f t="shared" si="26"/>
        <v>415</v>
      </c>
      <c r="C216" s="5"/>
      <c r="D216" s="6"/>
      <c r="E216" s="207"/>
      <c r="F216" s="207"/>
      <c r="I216" s="120" t="str">
        <f t="shared" si="51"/>
        <v/>
      </c>
      <c r="Q216">
        <f t="shared" si="41"/>
        <v>0</v>
      </c>
      <c r="R216">
        <f t="shared" si="42"/>
        <v>3</v>
      </c>
      <c r="S216">
        <f t="shared" si="43"/>
        <v>2</v>
      </c>
      <c r="T216">
        <f t="shared" si="44"/>
        <v>4</v>
      </c>
      <c r="U216">
        <f t="shared" si="45"/>
        <v>4</v>
      </c>
      <c r="W216">
        <f t="shared" si="46"/>
        <v>9999.0128999999088</v>
      </c>
      <c r="Y216">
        <f t="shared" si="47"/>
        <v>4.001609999999939</v>
      </c>
      <c r="Z216">
        <f t="shared" si="48"/>
        <v>4.0012999999999508</v>
      </c>
      <c r="AA216" t="str">
        <f t="shared" si="49"/>
        <v/>
      </c>
      <c r="AB216" t="str">
        <f t="shared" si="40"/>
        <v/>
      </c>
    </row>
    <row r="217" spans="1:28">
      <c r="A217">
        <f t="shared" si="50"/>
        <v>209</v>
      </c>
      <c r="B217">
        <f t="shared" si="26"/>
        <v>417</v>
      </c>
      <c r="C217" s="5"/>
      <c r="D217" s="6"/>
      <c r="E217" s="207"/>
      <c r="F217" s="207"/>
      <c r="I217" s="120" t="str">
        <f t="shared" si="51"/>
        <v/>
      </c>
      <c r="Q217">
        <f t="shared" si="41"/>
        <v>0</v>
      </c>
      <c r="R217">
        <f t="shared" si="42"/>
        <v>3</v>
      </c>
      <c r="S217">
        <f t="shared" si="43"/>
        <v>2</v>
      </c>
      <c r="T217">
        <f t="shared" si="44"/>
        <v>4</v>
      </c>
      <c r="U217">
        <f t="shared" si="45"/>
        <v>4</v>
      </c>
      <c r="W217">
        <f t="shared" si="46"/>
        <v>9999.0129999999081</v>
      </c>
      <c r="Y217">
        <f t="shared" si="47"/>
        <v>4.0016199999999387</v>
      </c>
      <c r="Z217">
        <f t="shared" si="48"/>
        <v>4.0013099999999504</v>
      </c>
      <c r="AA217" t="str">
        <f t="shared" si="49"/>
        <v/>
      </c>
      <c r="AB217" t="str">
        <f t="shared" si="40"/>
        <v/>
      </c>
    </row>
    <row r="218" spans="1:28">
      <c r="A218">
        <f t="shared" si="50"/>
        <v>210</v>
      </c>
      <c r="B218">
        <f t="shared" si="26"/>
        <v>419</v>
      </c>
      <c r="C218" s="5"/>
      <c r="D218" s="6"/>
      <c r="E218" s="207"/>
      <c r="F218" s="207"/>
      <c r="I218" s="120" t="str">
        <f t="shared" si="51"/>
        <v/>
      </c>
      <c r="Q218">
        <f t="shared" si="41"/>
        <v>0</v>
      </c>
      <c r="R218">
        <f t="shared" si="42"/>
        <v>3</v>
      </c>
      <c r="S218">
        <f t="shared" si="43"/>
        <v>2</v>
      </c>
      <c r="T218">
        <f t="shared" si="44"/>
        <v>4</v>
      </c>
      <c r="U218">
        <f t="shared" si="45"/>
        <v>4</v>
      </c>
      <c r="W218">
        <f t="shared" si="46"/>
        <v>9999.0130999999074</v>
      </c>
      <c r="Y218">
        <f t="shared" si="47"/>
        <v>4.0016299999999383</v>
      </c>
      <c r="Z218">
        <f t="shared" si="48"/>
        <v>4.00131999999995</v>
      </c>
      <c r="AA218" t="str">
        <f t="shared" si="49"/>
        <v/>
      </c>
      <c r="AB218" t="str">
        <f t="shared" si="40"/>
        <v/>
      </c>
    </row>
    <row r="219" spans="1:28">
      <c r="A219">
        <f t="shared" si="50"/>
        <v>211</v>
      </c>
      <c r="B219">
        <f t="shared" si="26"/>
        <v>421</v>
      </c>
      <c r="C219" s="5"/>
      <c r="D219" s="6"/>
      <c r="E219" s="207"/>
      <c r="F219" s="207"/>
      <c r="I219" s="120" t="str">
        <f t="shared" si="51"/>
        <v/>
      </c>
      <c r="Q219">
        <f t="shared" si="41"/>
        <v>0</v>
      </c>
      <c r="R219">
        <f t="shared" si="42"/>
        <v>3</v>
      </c>
      <c r="S219">
        <f t="shared" si="43"/>
        <v>2</v>
      </c>
      <c r="T219">
        <f t="shared" si="44"/>
        <v>4</v>
      </c>
      <c r="U219">
        <f t="shared" si="45"/>
        <v>4</v>
      </c>
      <c r="W219">
        <f t="shared" si="46"/>
        <v>9999.0131999999066</v>
      </c>
      <c r="Y219">
        <f t="shared" si="47"/>
        <v>4.0016399999999379</v>
      </c>
      <c r="Z219">
        <f t="shared" si="48"/>
        <v>4.0013299999999496</v>
      </c>
      <c r="AA219" t="str">
        <f t="shared" si="49"/>
        <v/>
      </c>
      <c r="AB219" t="str">
        <f t="shared" si="40"/>
        <v/>
      </c>
    </row>
    <row r="220" spans="1:28">
      <c r="A220">
        <f t="shared" si="50"/>
        <v>212</v>
      </c>
      <c r="B220">
        <f t="shared" si="26"/>
        <v>423</v>
      </c>
      <c r="C220" s="5"/>
      <c r="D220" s="6"/>
      <c r="E220" s="207"/>
      <c r="F220" s="207"/>
      <c r="I220" s="120" t="str">
        <f t="shared" si="51"/>
        <v/>
      </c>
      <c r="Q220">
        <f t="shared" si="41"/>
        <v>0</v>
      </c>
      <c r="R220">
        <f t="shared" si="42"/>
        <v>3</v>
      </c>
      <c r="S220">
        <f t="shared" si="43"/>
        <v>2</v>
      </c>
      <c r="T220">
        <f t="shared" si="44"/>
        <v>4</v>
      </c>
      <c r="U220">
        <f t="shared" si="45"/>
        <v>4</v>
      </c>
      <c r="W220">
        <f t="shared" si="46"/>
        <v>9999.0132999999059</v>
      </c>
      <c r="Y220">
        <f t="shared" si="47"/>
        <v>4.0016499999999375</v>
      </c>
      <c r="Z220">
        <f t="shared" si="48"/>
        <v>4.0013399999999493</v>
      </c>
      <c r="AA220" t="str">
        <f t="shared" si="49"/>
        <v/>
      </c>
      <c r="AB220" t="str">
        <f t="shared" si="40"/>
        <v/>
      </c>
    </row>
    <row r="221" spans="1:28">
      <c r="A221">
        <f t="shared" si="50"/>
        <v>213</v>
      </c>
      <c r="B221">
        <f t="shared" si="26"/>
        <v>425</v>
      </c>
      <c r="C221" s="5"/>
      <c r="D221" s="6"/>
      <c r="E221" s="207"/>
      <c r="F221" s="207"/>
      <c r="I221" s="120" t="str">
        <f t="shared" si="51"/>
        <v/>
      </c>
      <c r="Q221">
        <f t="shared" si="41"/>
        <v>0</v>
      </c>
      <c r="R221">
        <f t="shared" si="42"/>
        <v>3</v>
      </c>
      <c r="S221">
        <f t="shared" si="43"/>
        <v>2</v>
      </c>
      <c r="T221">
        <f t="shared" si="44"/>
        <v>4</v>
      </c>
      <c r="U221">
        <f t="shared" si="45"/>
        <v>4</v>
      </c>
      <c r="W221">
        <f t="shared" si="46"/>
        <v>9999.0133999999052</v>
      </c>
      <c r="Y221">
        <f t="shared" si="47"/>
        <v>4.0016599999999372</v>
      </c>
      <c r="Z221">
        <f t="shared" si="48"/>
        <v>4.0013499999999489</v>
      </c>
      <c r="AA221" t="str">
        <f t="shared" si="49"/>
        <v/>
      </c>
      <c r="AB221" t="str">
        <f t="shared" si="40"/>
        <v/>
      </c>
    </row>
    <row r="222" spans="1:28">
      <c r="A222">
        <f t="shared" si="50"/>
        <v>214</v>
      </c>
      <c r="B222">
        <f t="shared" si="26"/>
        <v>427</v>
      </c>
      <c r="C222" s="5"/>
      <c r="D222" s="6"/>
      <c r="E222" s="207"/>
      <c r="F222" s="207"/>
      <c r="I222" s="120" t="str">
        <f t="shared" si="51"/>
        <v/>
      </c>
      <c r="Q222">
        <f t="shared" si="41"/>
        <v>0</v>
      </c>
      <c r="R222">
        <f t="shared" si="42"/>
        <v>3</v>
      </c>
      <c r="S222">
        <f t="shared" si="43"/>
        <v>2</v>
      </c>
      <c r="T222">
        <f t="shared" si="44"/>
        <v>4</v>
      </c>
      <c r="U222">
        <f t="shared" si="45"/>
        <v>4</v>
      </c>
      <c r="W222">
        <f t="shared" si="46"/>
        <v>9999.0134999999045</v>
      </c>
      <c r="Y222">
        <f t="shared" si="47"/>
        <v>4.0016699999999368</v>
      </c>
      <c r="Z222">
        <f t="shared" si="48"/>
        <v>4.0013599999999485</v>
      </c>
      <c r="AA222" t="str">
        <f t="shared" si="49"/>
        <v/>
      </c>
      <c r="AB222" t="str">
        <f t="shared" si="40"/>
        <v/>
      </c>
    </row>
    <row r="223" spans="1:28">
      <c r="A223">
        <f t="shared" si="50"/>
        <v>215</v>
      </c>
      <c r="B223">
        <f t="shared" si="26"/>
        <v>429</v>
      </c>
      <c r="C223" s="5"/>
      <c r="D223" s="6"/>
      <c r="E223" s="207"/>
      <c r="F223" s="207"/>
      <c r="I223" s="120" t="str">
        <f t="shared" si="51"/>
        <v/>
      </c>
      <c r="Q223">
        <f t="shared" si="41"/>
        <v>0</v>
      </c>
      <c r="R223">
        <f t="shared" si="42"/>
        <v>3</v>
      </c>
      <c r="S223">
        <f t="shared" si="43"/>
        <v>2</v>
      </c>
      <c r="T223">
        <f t="shared" si="44"/>
        <v>4</v>
      </c>
      <c r="U223">
        <f t="shared" si="45"/>
        <v>4</v>
      </c>
      <c r="W223">
        <f t="shared" si="46"/>
        <v>9999.0135999999038</v>
      </c>
      <c r="Y223">
        <f t="shared" si="47"/>
        <v>4.0016799999999364</v>
      </c>
      <c r="Z223">
        <f t="shared" si="48"/>
        <v>4.0013699999999481</v>
      </c>
      <c r="AA223" t="str">
        <f t="shared" si="49"/>
        <v/>
      </c>
      <c r="AB223" t="str">
        <f t="shared" si="40"/>
        <v/>
      </c>
    </row>
    <row r="224" spans="1:28">
      <c r="A224">
        <f t="shared" si="50"/>
        <v>216</v>
      </c>
      <c r="B224">
        <f t="shared" si="26"/>
        <v>431</v>
      </c>
      <c r="C224" s="5"/>
      <c r="D224" s="6"/>
      <c r="E224" s="207"/>
      <c r="F224" s="207"/>
      <c r="I224" s="120" t="str">
        <f t="shared" si="51"/>
        <v/>
      </c>
      <c r="Q224">
        <f t="shared" si="41"/>
        <v>0</v>
      </c>
      <c r="R224">
        <f t="shared" si="42"/>
        <v>3</v>
      </c>
      <c r="S224">
        <f t="shared" si="43"/>
        <v>2</v>
      </c>
      <c r="T224">
        <f t="shared" si="44"/>
        <v>4</v>
      </c>
      <c r="U224">
        <f t="shared" si="45"/>
        <v>4</v>
      </c>
      <c r="W224">
        <f t="shared" si="46"/>
        <v>9999.0136999999031</v>
      </c>
      <c r="Y224">
        <f t="shared" si="47"/>
        <v>4.001689999999936</v>
      </c>
      <c r="Z224">
        <f t="shared" si="48"/>
        <v>4.0013799999999478</v>
      </c>
      <c r="AA224" t="str">
        <f t="shared" si="49"/>
        <v/>
      </c>
      <c r="AB224" t="str">
        <f t="shared" si="40"/>
        <v/>
      </c>
    </row>
    <row r="225" spans="1:28">
      <c r="A225">
        <f t="shared" si="50"/>
        <v>217</v>
      </c>
      <c r="B225">
        <f t="shared" si="26"/>
        <v>433</v>
      </c>
      <c r="C225" s="5"/>
      <c r="D225" s="6"/>
      <c r="E225" s="207"/>
      <c r="F225" s="207"/>
      <c r="I225" s="120" t="str">
        <f t="shared" si="51"/>
        <v/>
      </c>
      <c r="Q225">
        <f t="shared" si="41"/>
        <v>0</v>
      </c>
      <c r="R225">
        <f t="shared" si="42"/>
        <v>3</v>
      </c>
      <c r="S225">
        <f t="shared" si="43"/>
        <v>2</v>
      </c>
      <c r="T225">
        <f t="shared" si="44"/>
        <v>4</v>
      </c>
      <c r="U225">
        <f t="shared" si="45"/>
        <v>4</v>
      </c>
      <c r="W225">
        <f t="shared" si="46"/>
        <v>9999.0137999999024</v>
      </c>
      <c r="Y225">
        <f t="shared" si="47"/>
        <v>4.0016999999999356</v>
      </c>
      <c r="Z225">
        <f t="shared" si="48"/>
        <v>4.0013899999999474</v>
      </c>
      <c r="AA225" t="str">
        <f t="shared" si="49"/>
        <v/>
      </c>
      <c r="AB225" t="str">
        <f t="shared" si="40"/>
        <v/>
      </c>
    </row>
    <row r="226" spans="1:28">
      <c r="A226">
        <f t="shared" si="50"/>
        <v>218</v>
      </c>
      <c r="B226">
        <f t="shared" si="26"/>
        <v>435</v>
      </c>
      <c r="C226" s="5"/>
      <c r="D226" s="6"/>
      <c r="E226" s="207"/>
      <c r="F226" s="207"/>
      <c r="H226">
        <f t="shared" ref="H226:H231" si="52">C226</f>
        <v>0</v>
      </c>
      <c r="I226" s="120" t="str">
        <f t="shared" si="51"/>
        <v/>
      </c>
      <c r="Q226">
        <f t="shared" si="41"/>
        <v>0</v>
      </c>
      <c r="R226">
        <f t="shared" si="42"/>
        <v>3</v>
      </c>
      <c r="S226">
        <f t="shared" si="43"/>
        <v>2</v>
      </c>
      <c r="T226">
        <f t="shared" si="44"/>
        <v>4</v>
      </c>
      <c r="U226">
        <f t="shared" si="45"/>
        <v>4</v>
      </c>
      <c r="W226">
        <f t="shared" si="46"/>
        <v>9999.0138999999017</v>
      </c>
      <c r="Y226">
        <f t="shared" si="47"/>
        <v>4.0017099999999353</v>
      </c>
      <c r="Z226">
        <f t="shared" si="48"/>
        <v>4.001399999999947</v>
      </c>
      <c r="AA226" t="str">
        <f t="shared" si="49"/>
        <v/>
      </c>
      <c r="AB226" t="str">
        <f t="shared" si="40"/>
        <v/>
      </c>
    </row>
    <row r="227" spans="1:28">
      <c r="A227">
        <f t="shared" si="50"/>
        <v>219</v>
      </c>
      <c r="B227">
        <f t="shared" si="26"/>
        <v>437</v>
      </c>
      <c r="C227" s="5"/>
      <c r="D227" s="6"/>
      <c r="E227" s="207"/>
      <c r="F227" s="207"/>
      <c r="H227">
        <f t="shared" si="52"/>
        <v>0</v>
      </c>
      <c r="I227" s="120" t="str">
        <f t="shared" si="51"/>
        <v/>
      </c>
      <c r="Q227">
        <f t="shared" si="41"/>
        <v>0</v>
      </c>
      <c r="R227">
        <f t="shared" si="42"/>
        <v>3</v>
      </c>
      <c r="S227">
        <f t="shared" si="43"/>
        <v>2</v>
      </c>
      <c r="T227">
        <f t="shared" si="44"/>
        <v>4</v>
      </c>
      <c r="U227">
        <f t="shared" si="45"/>
        <v>4</v>
      </c>
      <c r="W227">
        <f t="shared" si="46"/>
        <v>9999.013999999901</v>
      </c>
      <c r="Y227">
        <f t="shared" si="47"/>
        <v>4.0017199999999349</v>
      </c>
      <c r="Z227">
        <f t="shared" si="48"/>
        <v>4.0014099999999466</v>
      </c>
      <c r="AA227" t="str">
        <f t="shared" si="49"/>
        <v/>
      </c>
      <c r="AB227" t="str">
        <f t="shared" si="40"/>
        <v/>
      </c>
    </row>
    <row r="228" spans="1:28">
      <c r="A228">
        <f t="shared" si="50"/>
        <v>220</v>
      </c>
      <c r="B228">
        <f t="shared" si="26"/>
        <v>439</v>
      </c>
      <c r="C228" s="5"/>
      <c r="D228" s="6"/>
      <c r="E228" s="207"/>
      <c r="F228" s="207"/>
      <c r="H228">
        <f t="shared" si="52"/>
        <v>0</v>
      </c>
      <c r="I228" s="120" t="str">
        <f t="shared" si="51"/>
        <v/>
      </c>
      <c r="Q228">
        <f t="shared" si="41"/>
        <v>0</v>
      </c>
      <c r="R228">
        <f t="shared" si="42"/>
        <v>3</v>
      </c>
      <c r="S228">
        <f t="shared" si="43"/>
        <v>2</v>
      </c>
      <c r="T228">
        <f t="shared" si="44"/>
        <v>4</v>
      </c>
      <c r="U228">
        <f t="shared" si="45"/>
        <v>4</v>
      </c>
      <c r="W228">
        <f t="shared" si="46"/>
        <v>9999.0140999999003</v>
      </c>
      <c r="Y228">
        <f t="shared" si="47"/>
        <v>4.0017299999999345</v>
      </c>
      <c r="Z228">
        <f t="shared" si="48"/>
        <v>4.0014199999999462</v>
      </c>
      <c r="AA228" t="str">
        <f t="shared" si="49"/>
        <v/>
      </c>
      <c r="AB228" t="str">
        <f t="shared" si="40"/>
        <v/>
      </c>
    </row>
    <row r="229" spans="1:28">
      <c r="A229">
        <f t="shared" si="50"/>
        <v>221</v>
      </c>
      <c r="B229">
        <f t="shared" si="26"/>
        <v>441</v>
      </c>
      <c r="C229" s="5"/>
      <c r="D229" s="6"/>
      <c r="E229" s="207"/>
      <c r="F229" s="207"/>
      <c r="H229">
        <f t="shared" si="52"/>
        <v>0</v>
      </c>
      <c r="I229" s="120" t="str">
        <f t="shared" si="51"/>
        <v/>
      </c>
      <c r="Q229">
        <f t="shared" si="41"/>
        <v>0</v>
      </c>
      <c r="R229">
        <f t="shared" si="42"/>
        <v>3</v>
      </c>
      <c r="S229">
        <f t="shared" si="43"/>
        <v>2</v>
      </c>
      <c r="T229">
        <f t="shared" si="44"/>
        <v>4</v>
      </c>
      <c r="U229">
        <f t="shared" si="45"/>
        <v>4</v>
      </c>
      <c r="W229">
        <f t="shared" si="46"/>
        <v>9999.0141999998996</v>
      </c>
      <c r="Y229">
        <f t="shared" si="47"/>
        <v>4.0017399999999341</v>
      </c>
      <c r="Z229">
        <f t="shared" si="48"/>
        <v>4.0014299999999459</v>
      </c>
      <c r="AA229" t="str">
        <f t="shared" si="49"/>
        <v/>
      </c>
      <c r="AB229" t="str">
        <f t="shared" si="40"/>
        <v/>
      </c>
    </row>
    <row r="230" spans="1:28">
      <c r="A230">
        <f t="shared" si="50"/>
        <v>222</v>
      </c>
      <c r="B230">
        <f t="shared" si="26"/>
        <v>443</v>
      </c>
      <c r="C230" s="5"/>
      <c r="D230" s="6"/>
      <c r="E230" s="207"/>
      <c r="F230" s="207"/>
      <c r="H230">
        <f t="shared" si="52"/>
        <v>0</v>
      </c>
      <c r="I230" s="120" t="str">
        <f t="shared" si="51"/>
        <v/>
      </c>
      <c r="Q230">
        <f t="shared" si="41"/>
        <v>0</v>
      </c>
      <c r="R230">
        <f>IF(OR(AND(D230&lt;&gt;"",C231="",C271=$C$3),AND(D230&lt;&gt;"",C231=$C$3)),R229+1,R229)</f>
        <v>3</v>
      </c>
      <c r="S230">
        <f>IF(OR(AND(D230&lt;&gt;"",C231="",C271=$C$4),AND(D230&lt;&gt;"",C231=$C$4)),S229+1,S229)</f>
        <v>2</v>
      </c>
      <c r="T230">
        <f>IF(OR(AND(D230&lt;&gt;"",C231="",C271=$C$5),AND(D230&lt;&gt;"",C231=$C$5)),T229+1,T229)</f>
        <v>4</v>
      </c>
      <c r="U230">
        <f>IF(OR(AND(D230&lt;&gt;"",C231="",C271=$C$6),AND(D230&lt;&gt;"",C231=$C$6)),U229+1,U229)</f>
        <v>4</v>
      </c>
      <c r="W230">
        <f t="shared" si="46"/>
        <v>9999.0142999998989</v>
      </c>
      <c r="Y230">
        <f t="shared" si="47"/>
        <v>4.0017499999999337</v>
      </c>
      <c r="Z230">
        <f t="shared" si="48"/>
        <v>4.0014399999999455</v>
      </c>
      <c r="AA230" t="str">
        <f t="shared" si="49"/>
        <v/>
      </c>
      <c r="AB230" t="str">
        <f t="shared" si="40"/>
        <v/>
      </c>
    </row>
    <row r="231" spans="1:28">
      <c r="A231">
        <f t="shared" si="50"/>
        <v>223</v>
      </c>
      <c r="B231">
        <f t="shared" si="26"/>
        <v>445</v>
      </c>
      <c r="C231" s="5"/>
      <c r="D231" s="6"/>
      <c r="E231" s="207"/>
      <c r="F231" s="207"/>
      <c r="H231">
        <f t="shared" si="52"/>
        <v>0</v>
      </c>
      <c r="I231" s="120" t="str">
        <f t="shared" si="51"/>
        <v/>
      </c>
      <c r="Q231">
        <f t="shared" si="41"/>
        <v>0</v>
      </c>
      <c r="R231">
        <f>IF(OR(AND(D231&lt;&gt;"",C271="",C272=$C$3),AND(D231&lt;&gt;"",C271=$C$3)),R230+1,R230)</f>
        <v>3</v>
      </c>
      <c r="S231">
        <f>IF(OR(AND(D231&lt;&gt;"",C271="",C272=$C$4),AND(D231&lt;&gt;"",C271=$C$4)),S230+1,S230)</f>
        <v>2</v>
      </c>
      <c r="T231">
        <f>IF(OR(AND(D231&lt;&gt;"",C271="",C272=$C$5),AND(D231&lt;&gt;"",C271=$C$5)),T230+1,T230)</f>
        <v>4</v>
      </c>
      <c r="U231">
        <f>IF(OR(AND(D231&lt;&gt;"",C271="",C272=$C$6),AND(D231&lt;&gt;"",C271=$C$6)),U230+1,U230)</f>
        <v>4</v>
      </c>
      <c r="W231">
        <f t="shared" si="46"/>
        <v>9999.0143999998982</v>
      </c>
      <c r="Y231">
        <f t="shared" si="47"/>
        <v>4.0017599999999334</v>
      </c>
      <c r="Z231">
        <f t="shared" si="48"/>
        <v>4.0014499999999451</v>
      </c>
      <c r="AA231" t="str">
        <f t="shared" si="49"/>
        <v/>
      </c>
      <c r="AB231" t="str">
        <f t="shared" si="40"/>
        <v/>
      </c>
    </row>
    <row r="232" spans="1:28">
      <c r="A232">
        <f t="shared" si="50"/>
        <v>224</v>
      </c>
      <c r="B232">
        <f t="shared" si="26"/>
        <v>447</v>
      </c>
      <c r="C232" s="5"/>
      <c r="D232" s="6"/>
      <c r="E232" s="207"/>
      <c r="F232" s="207"/>
      <c r="H232">
        <f t="shared" ref="H232:H271" si="53">C232</f>
        <v>0</v>
      </c>
      <c r="I232" s="120" t="str">
        <f t="shared" si="51"/>
        <v/>
      </c>
      <c r="Q232">
        <f t="shared" ref="Q232:Q271" si="54">E232</f>
        <v>0</v>
      </c>
      <c r="R232">
        <f t="shared" ref="R232:R271" si="55">IF(OR(AND(D232&lt;&gt;"",C272="",C273=$C$3),AND(D232&lt;&gt;"",C272=$C$3)),R231+1,R231)</f>
        <v>3</v>
      </c>
      <c r="S232">
        <f t="shared" ref="S232:S271" si="56">IF(OR(AND(D232&lt;&gt;"",C272="",C273=$C$4),AND(D232&lt;&gt;"",C272=$C$4)),S231+1,S231)</f>
        <v>2</v>
      </c>
      <c r="T232">
        <f t="shared" ref="T232:T271" si="57">IF(OR(AND(D232&lt;&gt;"",C272="",C273=$C$5),AND(D232&lt;&gt;"",C272=$C$5)),T231+1,T231)</f>
        <v>4</v>
      </c>
      <c r="U232">
        <f t="shared" ref="U232:U271" si="58">IF(OR(AND(D232&lt;&gt;"",C272="",C273=$C$6),AND(D232&lt;&gt;"",C272=$C$6)),U231+1,U231)</f>
        <v>4</v>
      </c>
      <c r="W232">
        <f t="shared" ref="W232:W271" si="59">IF(E232="",W231+0.0001,E232)</f>
        <v>9999.0144999998975</v>
      </c>
      <c r="Y232">
        <f t="shared" si="47"/>
        <v>4.001769999999933</v>
      </c>
      <c r="Z232">
        <f t="shared" si="48"/>
        <v>4.0014599999999447</v>
      </c>
      <c r="AA232" t="str">
        <f t="shared" si="49"/>
        <v/>
      </c>
      <c r="AB232" t="str">
        <f t="shared" si="40"/>
        <v/>
      </c>
    </row>
    <row r="233" spans="1:28">
      <c r="A233">
        <f t="shared" si="50"/>
        <v>225</v>
      </c>
      <c r="B233">
        <f t="shared" si="26"/>
        <v>449</v>
      </c>
      <c r="C233" s="5"/>
      <c r="D233" s="6"/>
      <c r="E233" s="207"/>
      <c r="F233" s="207"/>
      <c r="H233">
        <f t="shared" si="53"/>
        <v>0</v>
      </c>
      <c r="I233" s="120" t="str">
        <f t="shared" si="51"/>
        <v/>
      </c>
      <c r="Q233">
        <f t="shared" si="54"/>
        <v>0</v>
      </c>
      <c r="R233">
        <f t="shared" si="55"/>
        <v>3</v>
      </c>
      <c r="S233">
        <f t="shared" si="56"/>
        <v>2</v>
      </c>
      <c r="T233">
        <f t="shared" si="57"/>
        <v>4</v>
      </c>
      <c r="U233">
        <f t="shared" si="58"/>
        <v>4</v>
      </c>
      <c r="W233">
        <f t="shared" si="59"/>
        <v>9999.0145999998967</v>
      </c>
      <c r="Y233">
        <f t="shared" si="47"/>
        <v>4.0017799999999326</v>
      </c>
      <c r="Z233">
        <f t="shared" si="48"/>
        <v>4.0014699999999443</v>
      </c>
      <c r="AA233" t="str">
        <f t="shared" si="49"/>
        <v/>
      </c>
      <c r="AB233" t="str">
        <f t="shared" si="40"/>
        <v/>
      </c>
    </row>
    <row r="234" spans="1:28">
      <c r="A234">
        <f t="shared" si="50"/>
        <v>226</v>
      </c>
      <c r="B234">
        <f t="shared" si="26"/>
        <v>451</v>
      </c>
      <c r="C234" s="5"/>
      <c r="D234" s="6"/>
      <c r="E234" s="207"/>
      <c r="F234" s="207"/>
      <c r="H234">
        <f t="shared" si="53"/>
        <v>0</v>
      </c>
      <c r="I234" s="120" t="str">
        <f t="shared" si="51"/>
        <v/>
      </c>
      <c r="Q234">
        <f t="shared" si="54"/>
        <v>0</v>
      </c>
      <c r="R234">
        <f t="shared" si="55"/>
        <v>3</v>
      </c>
      <c r="S234">
        <f t="shared" si="56"/>
        <v>2</v>
      </c>
      <c r="T234">
        <f t="shared" si="57"/>
        <v>4</v>
      </c>
      <c r="U234">
        <f t="shared" si="58"/>
        <v>4</v>
      </c>
      <c r="W234">
        <f t="shared" si="59"/>
        <v>9999.014699999896</v>
      </c>
      <c r="Y234">
        <f t="shared" si="47"/>
        <v>4.0017899999999322</v>
      </c>
      <c r="Z234">
        <f t="shared" si="48"/>
        <v>4.001479999999944</v>
      </c>
      <c r="AA234" t="str">
        <f t="shared" si="49"/>
        <v/>
      </c>
      <c r="AB234" t="str">
        <f t="shared" si="40"/>
        <v/>
      </c>
    </row>
    <row r="235" spans="1:28">
      <c r="A235">
        <f t="shared" si="50"/>
        <v>227</v>
      </c>
      <c r="B235">
        <f t="shared" si="26"/>
        <v>453</v>
      </c>
      <c r="C235" s="5"/>
      <c r="D235" s="6"/>
      <c r="E235" s="207"/>
      <c r="F235" s="207"/>
      <c r="H235">
        <f t="shared" si="53"/>
        <v>0</v>
      </c>
      <c r="I235" s="120" t="str">
        <f t="shared" si="51"/>
        <v/>
      </c>
      <c r="Q235">
        <f t="shared" si="54"/>
        <v>0</v>
      </c>
      <c r="R235">
        <f t="shared" si="55"/>
        <v>3</v>
      </c>
      <c r="S235">
        <f t="shared" si="56"/>
        <v>2</v>
      </c>
      <c r="T235">
        <f t="shared" si="57"/>
        <v>4</v>
      </c>
      <c r="U235">
        <f t="shared" si="58"/>
        <v>4</v>
      </c>
      <c r="W235">
        <f t="shared" si="59"/>
        <v>9999.0147999998953</v>
      </c>
      <c r="Y235">
        <f t="shared" si="47"/>
        <v>4.0017999999999319</v>
      </c>
      <c r="Z235">
        <f t="shared" si="48"/>
        <v>4.0014899999999436</v>
      </c>
      <c r="AA235" t="str">
        <f t="shared" si="49"/>
        <v/>
      </c>
      <c r="AB235" t="str">
        <f t="shared" si="40"/>
        <v/>
      </c>
    </row>
    <row r="236" spans="1:28">
      <c r="A236">
        <f t="shared" si="50"/>
        <v>228</v>
      </c>
      <c r="B236">
        <f t="shared" si="26"/>
        <v>455</v>
      </c>
      <c r="C236" s="5"/>
      <c r="D236" s="6"/>
      <c r="E236" s="207"/>
      <c r="F236" s="207"/>
      <c r="H236">
        <f t="shared" si="53"/>
        <v>0</v>
      </c>
      <c r="I236" s="120" t="str">
        <f t="shared" si="51"/>
        <v/>
      </c>
      <c r="Q236">
        <f t="shared" si="54"/>
        <v>0</v>
      </c>
      <c r="R236">
        <f t="shared" si="55"/>
        <v>3</v>
      </c>
      <c r="S236">
        <f t="shared" si="56"/>
        <v>2</v>
      </c>
      <c r="T236">
        <f t="shared" si="57"/>
        <v>4</v>
      </c>
      <c r="U236">
        <f t="shared" si="58"/>
        <v>4</v>
      </c>
      <c r="W236">
        <f t="shared" si="59"/>
        <v>9999.0148999998946</v>
      </c>
      <c r="Y236">
        <f t="shared" si="47"/>
        <v>4.0018099999999315</v>
      </c>
      <c r="Z236">
        <f t="shared" si="48"/>
        <v>4.0014999999999432</v>
      </c>
      <c r="AA236" t="str">
        <f t="shared" si="49"/>
        <v/>
      </c>
      <c r="AB236" t="str">
        <f t="shared" si="40"/>
        <v/>
      </c>
    </row>
    <row r="237" spans="1:28">
      <c r="A237">
        <f t="shared" si="50"/>
        <v>229</v>
      </c>
      <c r="B237">
        <f t="shared" si="26"/>
        <v>457</v>
      </c>
      <c r="C237" s="5"/>
      <c r="D237" s="6"/>
      <c r="E237" s="207"/>
      <c r="F237" s="207"/>
      <c r="H237">
        <f t="shared" si="53"/>
        <v>0</v>
      </c>
      <c r="I237" s="120" t="str">
        <f t="shared" si="51"/>
        <v/>
      </c>
      <c r="Q237">
        <f t="shared" si="54"/>
        <v>0</v>
      </c>
      <c r="R237">
        <f t="shared" si="55"/>
        <v>3</v>
      </c>
      <c r="S237">
        <f t="shared" si="56"/>
        <v>2</v>
      </c>
      <c r="T237">
        <f t="shared" si="57"/>
        <v>4</v>
      </c>
      <c r="U237">
        <f t="shared" si="58"/>
        <v>4</v>
      </c>
      <c r="W237">
        <f t="shared" si="59"/>
        <v>9999.0149999998939</v>
      </c>
      <c r="Y237">
        <f t="shared" si="47"/>
        <v>4.0018199999999311</v>
      </c>
      <c r="Z237">
        <f t="shared" si="48"/>
        <v>4.0015099999999428</v>
      </c>
      <c r="AA237" t="str">
        <f t="shared" si="49"/>
        <v/>
      </c>
      <c r="AB237" t="str">
        <f t="shared" si="40"/>
        <v/>
      </c>
    </row>
    <row r="238" spans="1:28">
      <c r="A238">
        <f t="shared" si="50"/>
        <v>230</v>
      </c>
      <c r="B238">
        <f t="shared" si="26"/>
        <v>459</v>
      </c>
      <c r="C238" s="5"/>
      <c r="D238" s="6"/>
      <c r="E238" s="207"/>
      <c r="F238" s="207"/>
      <c r="H238">
        <f t="shared" si="53"/>
        <v>0</v>
      </c>
      <c r="I238" s="120" t="str">
        <f t="shared" si="51"/>
        <v/>
      </c>
      <c r="Q238">
        <f t="shared" si="54"/>
        <v>0</v>
      </c>
      <c r="R238">
        <f t="shared" si="55"/>
        <v>3</v>
      </c>
      <c r="S238">
        <f t="shared" si="56"/>
        <v>2</v>
      </c>
      <c r="T238">
        <f t="shared" si="57"/>
        <v>4</v>
      </c>
      <c r="U238">
        <f t="shared" si="58"/>
        <v>4</v>
      </c>
      <c r="W238">
        <f t="shared" si="59"/>
        <v>9999.0150999998932</v>
      </c>
      <c r="Y238">
        <f t="shared" si="47"/>
        <v>4.0018299999999307</v>
      </c>
      <c r="Z238">
        <f t="shared" si="48"/>
        <v>4.0015199999999425</v>
      </c>
      <c r="AA238" t="str">
        <f t="shared" si="49"/>
        <v/>
      </c>
      <c r="AB238" t="str">
        <f t="shared" si="40"/>
        <v/>
      </c>
    </row>
    <row r="239" spans="1:28">
      <c r="A239">
        <f t="shared" si="50"/>
        <v>231</v>
      </c>
      <c r="B239">
        <f t="shared" si="26"/>
        <v>461</v>
      </c>
      <c r="C239" s="5"/>
      <c r="D239" s="6"/>
      <c r="E239" s="207"/>
      <c r="F239" s="207"/>
      <c r="H239">
        <f t="shared" si="53"/>
        <v>0</v>
      </c>
      <c r="I239" s="120" t="str">
        <f t="shared" si="51"/>
        <v/>
      </c>
      <c r="Q239">
        <f t="shared" si="54"/>
        <v>0</v>
      </c>
      <c r="R239">
        <f t="shared" si="55"/>
        <v>3</v>
      </c>
      <c r="S239">
        <f t="shared" si="56"/>
        <v>2</v>
      </c>
      <c r="T239">
        <f t="shared" si="57"/>
        <v>4</v>
      </c>
      <c r="U239">
        <f t="shared" si="58"/>
        <v>4</v>
      </c>
      <c r="W239">
        <f t="shared" si="59"/>
        <v>9999.0151999998925</v>
      </c>
      <c r="Y239">
        <f t="shared" si="47"/>
        <v>4.0018399999999303</v>
      </c>
      <c r="Z239">
        <f t="shared" si="48"/>
        <v>4.0015299999999421</v>
      </c>
      <c r="AA239" t="str">
        <f t="shared" si="49"/>
        <v/>
      </c>
      <c r="AB239" t="str">
        <f t="shared" ref="AB239:AB278" si="60">IF(U239-U238=0,"",D239)</f>
        <v/>
      </c>
    </row>
    <row r="240" spans="1:28">
      <c r="A240">
        <f t="shared" si="50"/>
        <v>232</v>
      </c>
      <c r="B240">
        <f t="shared" si="26"/>
        <v>463</v>
      </c>
      <c r="C240" s="5"/>
      <c r="D240" s="6"/>
      <c r="E240" s="207"/>
      <c r="F240" s="207"/>
      <c r="H240">
        <f t="shared" si="53"/>
        <v>0</v>
      </c>
      <c r="I240" s="120" t="str">
        <f t="shared" si="51"/>
        <v/>
      </c>
      <c r="Q240">
        <f t="shared" si="54"/>
        <v>0</v>
      </c>
      <c r="R240">
        <f t="shared" si="55"/>
        <v>3</v>
      </c>
      <c r="S240">
        <f t="shared" si="56"/>
        <v>2</v>
      </c>
      <c r="T240">
        <f t="shared" si="57"/>
        <v>4</v>
      </c>
      <c r="U240">
        <f t="shared" si="58"/>
        <v>4</v>
      </c>
      <c r="W240">
        <f t="shared" si="59"/>
        <v>9999.0152999998918</v>
      </c>
      <c r="Y240">
        <f t="shared" si="47"/>
        <v>4.00184999999993</v>
      </c>
      <c r="Z240">
        <f t="shared" si="48"/>
        <v>4.0015399999999417</v>
      </c>
      <c r="AA240" t="str">
        <f t="shared" si="49"/>
        <v/>
      </c>
      <c r="AB240" t="str">
        <f t="shared" si="60"/>
        <v/>
      </c>
    </row>
    <row r="241" spans="1:28">
      <c r="A241">
        <f t="shared" si="50"/>
        <v>233</v>
      </c>
      <c r="B241">
        <f t="shared" si="26"/>
        <v>465</v>
      </c>
      <c r="C241" s="5"/>
      <c r="D241" s="6"/>
      <c r="E241" s="207"/>
      <c r="F241" s="207"/>
      <c r="H241">
        <f t="shared" si="53"/>
        <v>0</v>
      </c>
      <c r="I241" s="120" t="str">
        <f t="shared" si="51"/>
        <v/>
      </c>
      <c r="Q241">
        <f t="shared" si="54"/>
        <v>0</v>
      </c>
      <c r="R241">
        <f t="shared" si="55"/>
        <v>3</v>
      </c>
      <c r="S241">
        <f t="shared" si="56"/>
        <v>2</v>
      </c>
      <c r="T241">
        <f t="shared" si="57"/>
        <v>4</v>
      </c>
      <c r="U241">
        <f t="shared" si="58"/>
        <v>4</v>
      </c>
      <c r="W241">
        <f t="shared" si="59"/>
        <v>9999.0153999998911</v>
      </c>
      <c r="Y241">
        <f t="shared" si="47"/>
        <v>4.0018599999999296</v>
      </c>
      <c r="Z241">
        <f t="shared" si="48"/>
        <v>4.0015499999999413</v>
      </c>
      <c r="AA241" t="str">
        <f t="shared" si="49"/>
        <v/>
      </c>
      <c r="AB241" t="str">
        <f t="shared" si="60"/>
        <v/>
      </c>
    </row>
    <row r="242" spans="1:28">
      <c r="A242">
        <f t="shared" si="50"/>
        <v>234</v>
      </c>
      <c r="B242">
        <f t="shared" si="26"/>
        <v>467</v>
      </c>
      <c r="C242" s="5"/>
      <c r="D242" s="6"/>
      <c r="E242" s="207"/>
      <c r="F242" s="207"/>
      <c r="H242">
        <f t="shared" si="53"/>
        <v>0</v>
      </c>
      <c r="I242" s="120" t="str">
        <f t="shared" si="51"/>
        <v/>
      </c>
      <c r="Q242">
        <f t="shared" si="54"/>
        <v>0</v>
      </c>
      <c r="R242">
        <f t="shared" si="55"/>
        <v>3</v>
      </c>
      <c r="S242">
        <f t="shared" si="56"/>
        <v>2</v>
      </c>
      <c r="T242">
        <f t="shared" si="57"/>
        <v>4</v>
      </c>
      <c r="U242">
        <f t="shared" si="58"/>
        <v>4</v>
      </c>
      <c r="W242">
        <f t="shared" si="59"/>
        <v>9999.0154999998904</v>
      </c>
      <c r="Y242">
        <f t="shared" si="47"/>
        <v>4.0018699999999292</v>
      </c>
      <c r="Z242">
        <f t="shared" si="48"/>
        <v>4.0015599999999409</v>
      </c>
      <c r="AA242" t="str">
        <f t="shared" si="49"/>
        <v/>
      </c>
      <c r="AB242" t="str">
        <f t="shared" si="60"/>
        <v/>
      </c>
    </row>
    <row r="243" spans="1:28">
      <c r="A243">
        <f t="shared" si="50"/>
        <v>235</v>
      </c>
      <c r="B243">
        <f t="shared" si="26"/>
        <v>469</v>
      </c>
      <c r="C243" s="5"/>
      <c r="D243" s="6"/>
      <c r="E243" s="207"/>
      <c r="F243" s="207"/>
      <c r="H243">
        <f t="shared" si="53"/>
        <v>0</v>
      </c>
      <c r="I243" s="120" t="str">
        <f t="shared" si="51"/>
        <v/>
      </c>
      <c r="Q243">
        <f t="shared" si="54"/>
        <v>0</v>
      </c>
      <c r="R243">
        <f t="shared" si="55"/>
        <v>3</v>
      </c>
      <c r="S243">
        <f t="shared" si="56"/>
        <v>2</v>
      </c>
      <c r="T243">
        <f t="shared" si="57"/>
        <v>4</v>
      </c>
      <c r="U243">
        <f t="shared" si="58"/>
        <v>4</v>
      </c>
      <c r="W243">
        <f t="shared" si="59"/>
        <v>9999.0155999998897</v>
      </c>
      <c r="Y243">
        <f t="shared" si="47"/>
        <v>4.0018799999999288</v>
      </c>
      <c r="Z243">
        <f t="shared" si="48"/>
        <v>4.0015699999999406</v>
      </c>
      <c r="AA243" t="str">
        <f t="shared" si="49"/>
        <v/>
      </c>
      <c r="AB243" t="str">
        <f t="shared" si="60"/>
        <v/>
      </c>
    </row>
    <row r="244" spans="1:28">
      <c r="A244">
        <f t="shared" si="50"/>
        <v>236</v>
      </c>
      <c r="B244">
        <f t="shared" si="26"/>
        <v>471</v>
      </c>
      <c r="C244" s="5"/>
      <c r="D244" s="6"/>
      <c r="E244" s="207"/>
      <c r="F244" s="207"/>
      <c r="H244">
        <f t="shared" si="53"/>
        <v>0</v>
      </c>
      <c r="I244" s="120" t="str">
        <f t="shared" si="51"/>
        <v/>
      </c>
      <c r="Q244">
        <f t="shared" si="54"/>
        <v>0</v>
      </c>
      <c r="R244">
        <f t="shared" si="55"/>
        <v>3</v>
      </c>
      <c r="S244">
        <f t="shared" si="56"/>
        <v>2</v>
      </c>
      <c r="T244">
        <f t="shared" si="57"/>
        <v>4</v>
      </c>
      <c r="U244">
        <f t="shared" si="58"/>
        <v>4</v>
      </c>
      <c r="W244">
        <f t="shared" si="59"/>
        <v>9999.015699999889</v>
      </c>
      <c r="Y244">
        <f t="shared" si="47"/>
        <v>4.0018899999999284</v>
      </c>
      <c r="Z244">
        <f t="shared" si="48"/>
        <v>4.0015799999999402</v>
      </c>
      <c r="AA244" t="str">
        <f t="shared" si="49"/>
        <v/>
      </c>
      <c r="AB244" t="str">
        <f t="shared" si="60"/>
        <v/>
      </c>
    </row>
    <row r="245" spans="1:28">
      <c r="A245">
        <f t="shared" si="50"/>
        <v>237</v>
      </c>
      <c r="B245">
        <f t="shared" si="26"/>
        <v>473</v>
      </c>
      <c r="C245" s="5"/>
      <c r="D245" s="6"/>
      <c r="E245" s="207"/>
      <c r="F245" s="207"/>
      <c r="H245">
        <f t="shared" si="53"/>
        <v>0</v>
      </c>
      <c r="I245" s="120" t="str">
        <f t="shared" si="51"/>
        <v/>
      </c>
      <c r="Q245">
        <f t="shared" si="54"/>
        <v>0</v>
      </c>
      <c r="R245">
        <f t="shared" si="55"/>
        <v>3</v>
      </c>
      <c r="S245">
        <f t="shared" si="56"/>
        <v>2</v>
      </c>
      <c r="T245">
        <f t="shared" si="57"/>
        <v>4</v>
      </c>
      <c r="U245">
        <f t="shared" si="58"/>
        <v>4</v>
      </c>
      <c r="W245">
        <f t="shared" si="59"/>
        <v>9999.0157999998883</v>
      </c>
      <c r="Y245">
        <f t="shared" si="47"/>
        <v>4.0018999999999281</v>
      </c>
      <c r="Z245">
        <f t="shared" si="48"/>
        <v>4.0015899999999398</v>
      </c>
      <c r="AA245" t="str">
        <f t="shared" si="49"/>
        <v/>
      </c>
      <c r="AB245" t="str">
        <f t="shared" si="60"/>
        <v/>
      </c>
    </row>
    <row r="246" spans="1:28">
      <c r="A246">
        <f t="shared" si="50"/>
        <v>238</v>
      </c>
      <c r="B246">
        <f t="shared" si="26"/>
        <v>475</v>
      </c>
      <c r="C246" s="5"/>
      <c r="D246" s="6"/>
      <c r="E246" s="207"/>
      <c r="F246" s="207"/>
      <c r="H246">
        <f t="shared" si="53"/>
        <v>0</v>
      </c>
      <c r="I246" s="120" t="str">
        <f t="shared" si="51"/>
        <v/>
      </c>
      <c r="Q246">
        <f t="shared" si="54"/>
        <v>0</v>
      </c>
      <c r="R246">
        <f t="shared" si="55"/>
        <v>3</v>
      </c>
      <c r="S246">
        <f t="shared" si="56"/>
        <v>2</v>
      </c>
      <c r="T246">
        <f t="shared" si="57"/>
        <v>4</v>
      </c>
      <c r="U246">
        <f t="shared" si="58"/>
        <v>4</v>
      </c>
      <c r="W246">
        <f t="shared" si="59"/>
        <v>9999.0158999998876</v>
      </c>
      <c r="Y246">
        <f t="shared" si="47"/>
        <v>4.0019099999999277</v>
      </c>
      <c r="Z246">
        <f t="shared" si="48"/>
        <v>4.0015999999999394</v>
      </c>
      <c r="AA246" t="str">
        <f t="shared" si="49"/>
        <v/>
      </c>
      <c r="AB246" t="str">
        <f t="shared" si="60"/>
        <v/>
      </c>
    </row>
    <row r="247" spans="1:28">
      <c r="A247">
        <f t="shared" si="50"/>
        <v>239</v>
      </c>
      <c r="B247">
        <f t="shared" si="26"/>
        <v>477</v>
      </c>
      <c r="C247" s="5"/>
      <c r="D247" s="6"/>
      <c r="E247" s="207"/>
      <c r="F247" s="207"/>
      <c r="H247">
        <f t="shared" si="53"/>
        <v>0</v>
      </c>
      <c r="I247" s="120" t="str">
        <f t="shared" si="51"/>
        <v/>
      </c>
      <c r="Q247">
        <f t="shared" si="54"/>
        <v>0</v>
      </c>
      <c r="R247">
        <f t="shared" si="55"/>
        <v>3</v>
      </c>
      <c r="S247">
        <f t="shared" si="56"/>
        <v>2</v>
      </c>
      <c r="T247">
        <f t="shared" si="57"/>
        <v>4</v>
      </c>
      <c r="U247">
        <f t="shared" si="58"/>
        <v>4</v>
      </c>
      <c r="W247">
        <f t="shared" si="59"/>
        <v>9999.0159999998868</v>
      </c>
      <c r="Y247">
        <f t="shared" si="47"/>
        <v>4.0019199999999273</v>
      </c>
      <c r="Z247">
        <f t="shared" si="48"/>
        <v>4.001609999999939</v>
      </c>
      <c r="AA247" t="str">
        <f t="shared" si="49"/>
        <v/>
      </c>
      <c r="AB247" t="str">
        <f t="shared" si="60"/>
        <v/>
      </c>
    </row>
    <row r="248" spans="1:28">
      <c r="A248">
        <f t="shared" si="50"/>
        <v>240</v>
      </c>
      <c r="B248">
        <f t="shared" si="26"/>
        <v>479</v>
      </c>
      <c r="C248" s="5"/>
      <c r="D248" s="6"/>
      <c r="E248" s="207"/>
      <c r="F248" s="207"/>
      <c r="H248">
        <f t="shared" si="53"/>
        <v>0</v>
      </c>
      <c r="I248" s="120" t="str">
        <f t="shared" si="51"/>
        <v/>
      </c>
      <c r="Q248">
        <f t="shared" si="54"/>
        <v>0</v>
      </c>
      <c r="R248">
        <f t="shared" si="55"/>
        <v>3</v>
      </c>
      <c r="S248">
        <f t="shared" si="56"/>
        <v>2</v>
      </c>
      <c r="T248">
        <f t="shared" si="57"/>
        <v>4</v>
      </c>
      <c r="U248">
        <f t="shared" si="58"/>
        <v>4</v>
      </c>
      <c r="W248">
        <f t="shared" si="59"/>
        <v>9999.0160999998861</v>
      </c>
      <c r="Y248">
        <f t="shared" si="47"/>
        <v>4.0019299999999269</v>
      </c>
      <c r="Z248">
        <f t="shared" si="48"/>
        <v>4.0016199999999387</v>
      </c>
      <c r="AA248" t="str">
        <f t="shared" si="49"/>
        <v/>
      </c>
      <c r="AB248" t="str">
        <f t="shared" si="60"/>
        <v/>
      </c>
    </row>
    <row r="249" spans="1:28">
      <c r="A249">
        <f t="shared" si="50"/>
        <v>241</v>
      </c>
      <c r="B249">
        <f t="shared" si="26"/>
        <v>481</v>
      </c>
      <c r="C249" s="5"/>
      <c r="D249" s="6"/>
      <c r="E249" s="207"/>
      <c r="F249" s="207"/>
      <c r="H249">
        <f t="shared" si="53"/>
        <v>0</v>
      </c>
      <c r="I249" s="120" t="str">
        <f t="shared" si="51"/>
        <v/>
      </c>
      <c r="Q249">
        <f t="shared" si="54"/>
        <v>0</v>
      </c>
      <c r="R249">
        <f t="shared" si="55"/>
        <v>3</v>
      </c>
      <c r="S249">
        <f t="shared" si="56"/>
        <v>2</v>
      </c>
      <c r="T249">
        <f t="shared" si="57"/>
        <v>4</v>
      </c>
      <c r="U249">
        <f t="shared" si="58"/>
        <v>4</v>
      </c>
      <c r="W249">
        <f t="shared" si="59"/>
        <v>9999.0161999998854</v>
      </c>
      <c r="Y249">
        <f t="shared" si="47"/>
        <v>4.0019399999999266</v>
      </c>
      <c r="Z249">
        <f t="shared" si="48"/>
        <v>4.0016299999999383</v>
      </c>
      <c r="AA249" t="str">
        <f t="shared" si="49"/>
        <v/>
      </c>
      <c r="AB249" t="str">
        <f t="shared" si="60"/>
        <v/>
      </c>
    </row>
    <row r="250" spans="1:28">
      <c r="A250">
        <f t="shared" si="50"/>
        <v>242</v>
      </c>
      <c r="B250">
        <f t="shared" si="26"/>
        <v>483</v>
      </c>
      <c r="C250" s="5"/>
      <c r="D250" s="6"/>
      <c r="E250" s="207"/>
      <c r="F250" s="207"/>
      <c r="H250">
        <f t="shared" si="53"/>
        <v>0</v>
      </c>
      <c r="I250" s="120" t="str">
        <f t="shared" si="51"/>
        <v/>
      </c>
      <c r="Q250">
        <f t="shared" si="54"/>
        <v>0</v>
      </c>
      <c r="R250">
        <f t="shared" si="55"/>
        <v>3</v>
      </c>
      <c r="S250">
        <f t="shared" si="56"/>
        <v>2</v>
      </c>
      <c r="T250">
        <f t="shared" si="57"/>
        <v>4</v>
      </c>
      <c r="U250">
        <f t="shared" si="58"/>
        <v>4</v>
      </c>
      <c r="W250">
        <f t="shared" si="59"/>
        <v>9999.0162999998847</v>
      </c>
      <c r="Y250">
        <f t="shared" si="47"/>
        <v>4.0019499999999262</v>
      </c>
      <c r="Z250">
        <f t="shared" si="48"/>
        <v>4.0016399999999379</v>
      </c>
      <c r="AA250" t="str">
        <f t="shared" si="49"/>
        <v/>
      </c>
      <c r="AB250" t="str">
        <f t="shared" si="60"/>
        <v/>
      </c>
    </row>
    <row r="251" spans="1:28">
      <c r="A251">
        <f t="shared" si="50"/>
        <v>243</v>
      </c>
      <c r="B251">
        <f t="shared" si="26"/>
        <v>485</v>
      </c>
      <c r="C251" s="5"/>
      <c r="D251" s="6"/>
      <c r="E251" s="207"/>
      <c r="F251" s="207"/>
      <c r="H251">
        <f t="shared" si="53"/>
        <v>0</v>
      </c>
      <c r="I251" s="120" t="str">
        <f t="shared" si="51"/>
        <v/>
      </c>
      <c r="Q251">
        <f t="shared" si="54"/>
        <v>0</v>
      </c>
      <c r="R251">
        <f t="shared" si="55"/>
        <v>3</v>
      </c>
      <c r="S251">
        <f t="shared" si="56"/>
        <v>2</v>
      </c>
      <c r="T251">
        <f t="shared" si="57"/>
        <v>4</v>
      </c>
      <c r="U251">
        <f t="shared" si="58"/>
        <v>4</v>
      </c>
      <c r="W251">
        <f t="shared" si="59"/>
        <v>9999.016399999884</v>
      </c>
      <c r="Y251">
        <f t="shared" si="47"/>
        <v>4.0019599999999258</v>
      </c>
      <c r="Z251">
        <f t="shared" si="48"/>
        <v>4.0016499999999375</v>
      </c>
      <c r="AA251" t="str">
        <f t="shared" si="49"/>
        <v/>
      </c>
      <c r="AB251" t="str">
        <f t="shared" si="60"/>
        <v/>
      </c>
    </row>
    <row r="252" spans="1:28">
      <c r="A252">
        <f t="shared" si="50"/>
        <v>244</v>
      </c>
      <c r="B252">
        <f t="shared" si="26"/>
        <v>487</v>
      </c>
      <c r="C252" s="5"/>
      <c r="D252" s="6"/>
      <c r="E252" s="207"/>
      <c r="F252" s="207"/>
      <c r="H252">
        <f t="shared" si="53"/>
        <v>0</v>
      </c>
      <c r="I252" s="120" t="str">
        <f t="shared" si="51"/>
        <v/>
      </c>
      <c r="Q252">
        <f t="shared" si="54"/>
        <v>0</v>
      </c>
      <c r="R252">
        <f t="shared" si="55"/>
        <v>3</v>
      </c>
      <c r="S252">
        <f t="shared" si="56"/>
        <v>2</v>
      </c>
      <c r="T252">
        <f t="shared" si="57"/>
        <v>4</v>
      </c>
      <c r="U252">
        <f t="shared" si="58"/>
        <v>4</v>
      </c>
      <c r="W252">
        <f t="shared" si="59"/>
        <v>9999.0164999998833</v>
      </c>
      <c r="Y252">
        <f t="shared" si="47"/>
        <v>4.0019699999999254</v>
      </c>
      <c r="Z252">
        <f t="shared" si="48"/>
        <v>4.0016599999999372</v>
      </c>
      <c r="AA252" t="str">
        <f t="shared" si="49"/>
        <v/>
      </c>
      <c r="AB252" t="str">
        <f t="shared" si="60"/>
        <v/>
      </c>
    </row>
    <row r="253" spans="1:28">
      <c r="A253">
        <f t="shared" si="50"/>
        <v>245</v>
      </c>
      <c r="B253">
        <f t="shared" si="26"/>
        <v>489</v>
      </c>
      <c r="C253" s="5"/>
      <c r="D253" s="6"/>
      <c r="E253" s="207"/>
      <c r="F253" s="207"/>
      <c r="H253">
        <f t="shared" si="53"/>
        <v>0</v>
      </c>
      <c r="I253" s="120" t="str">
        <f t="shared" si="51"/>
        <v/>
      </c>
      <c r="Q253">
        <f t="shared" si="54"/>
        <v>0</v>
      </c>
      <c r="R253">
        <f t="shared" si="55"/>
        <v>3</v>
      </c>
      <c r="S253">
        <f t="shared" si="56"/>
        <v>2</v>
      </c>
      <c r="T253">
        <f t="shared" si="57"/>
        <v>4</v>
      </c>
      <c r="U253">
        <f t="shared" si="58"/>
        <v>4</v>
      </c>
      <c r="W253">
        <f t="shared" si="59"/>
        <v>9999.0165999998826</v>
      </c>
      <c r="Y253">
        <f t="shared" si="47"/>
        <v>4.001979999999925</v>
      </c>
      <c r="Z253">
        <f t="shared" si="48"/>
        <v>4.0016699999999368</v>
      </c>
      <c r="AA253" t="str">
        <f t="shared" si="49"/>
        <v/>
      </c>
      <c r="AB253" t="str">
        <f t="shared" si="60"/>
        <v/>
      </c>
    </row>
    <row r="254" spans="1:28">
      <c r="A254">
        <f t="shared" si="50"/>
        <v>246</v>
      </c>
      <c r="B254">
        <f t="shared" si="26"/>
        <v>491</v>
      </c>
      <c r="C254" s="5"/>
      <c r="D254" s="6"/>
      <c r="E254" s="207"/>
      <c r="F254" s="207"/>
      <c r="H254">
        <f t="shared" si="53"/>
        <v>0</v>
      </c>
      <c r="I254" s="120" t="str">
        <f t="shared" si="51"/>
        <v/>
      </c>
      <c r="Q254">
        <f t="shared" si="54"/>
        <v>0</v>
      </c>
      <c r="R254">
        <f t="shared" si="55"/>
        <v>3</v>
      </c>
      <c r="S254">
        <f t="shared" si="56"/>
        <v>2</v>
      </c>
      <c r="T254">
        <f t="shared" si="57"/>
        <v>4</v>
      </c>
      <c r="U254">
        <f t="shared" si="58"/>
        <v>4</v>
      </c>
      <c r="W254">
        <f t="shared" si="59"/>
        <v>9999.0166999998819</v>
      </c>
      <c r="Y254">
        <f t="shared" si="47"/>
        <v>4.0019899999999247</v>
      </c>
      <c r="Z254">
        <f t="shared" si="48"/>
        <v>4.0016799999999364</v>
      </c>
      <c r="AA254" t="str">
        <f t="shared" si="49"/>
        <v/>
      </c>
      <c r="AB254" t="str">
        <f t="shared" si="60"/>
        <v/>
      </c>
    </row>
    <row r="255" spans="1:28">
      <c r="A255">
        <f t="shared" si="50"/>
        <v>247</v>
      </c>
      <c r="B255">
        <f t="shared" si="26"/>
        <v>493</v>
      </c>
      <c r="C255" s="5"/>
      <c r="D255" s="6"/>
      <c r="E255" s="207"/>
      <c r="F255" s="207"/>
      <c r="H255">
        <f t="shared" si="53"/>
        <v>0</v>
      </c>
      <c r="I255" s="120" t="str">
        <f t="shared" si="51"/>
        <v/>
      </c>
      <c r="Q255">
        <f t="shared" si="54"/>
        <v>0</v>
      </c>
      <c r="R255">
        <f t="shared" si="55"/>
        <v>3</v>
      </c>
      <c r="S255">
        <f t="shared" si="56"/>
        <v>2</v>
      </c>
      <c r="T255">
        <f t="shared" si="57"/>
        <v>4</v>
      </c>
      <c r="U255">
        <f t="shared" si="58"/>
        <v>4</v>
      </c>
      <c r="W255">
        <f t="shared" si="59"/>
        <v>9999.0167999998812</v>
      </c>
      <c r="Y255">
        <f t="shared" si="47"/>
        <v>4.0019999999999243</v>
      </c>
      <c r="Z255">
        <f t="shared" si="48"/>
        <v>4.001689999999936</v>
      </c>
      <c r="AA255" t="str">
        <f t="shared" si="49"/>
        <v/>
      </c>
      <c r="AB255" t="str">
        <f t="shared" si="60"/>
        <v/>
      </c>
    </row>
    <row r="256" spans="1:28">
      <c r="A256">
        <f t="shared" si="50"/>
        <v>248</v>
      </c>
      <c r="B256">
        <f t="shared" si="26"/>
        <v>495</v>
      </c>
      <c r="C256" s="5"/>
      <c r="D256" s="6"/>
      <c r="E256" s="207"/>
      <c r="F256" s="207"/>
      <c r="H256">
        <f t="shared" si="53"/>
        <v>0</v>
      </c>
      <c r="I256" s="120" t="str">
        <f t="shared" si="51"/>
        <v/>
      </c>
      <c r="Q256">
        <f t="shared" si="54"/>
        <v>0</v>
      </c>
      <c r="R256">
        <f t="shared" si="55"/>
        <v>3</v>
      </c>
      <c r="S256">
        <f t="shared" si="56"/>
        <v>2</v>
      </c>
      <c r="T256">
        <f t="shared" si="57"/>
        <v>4</v>
      </c>
      <c r="U256">
        <f t="shared" si="58"/>
        <v>4</v>
      </c>
      <c r="W256">
        <f t="shared" si="59"/>
        <v>9999.0168999998805</v>
      </c>
      <c r="Y256">
        <f t="shared" si="47"/>
        <v>4.0020099999999239</v>
      </c>
      <c r="Z256">
        <f t="shared" si="48"/>
        <v>4.0016999999999356</v>
      </c>
      <c r="AA256" t="str">
        <f t="shared" si="49"/>
        <v/>
      </c>
      <c r="AB256" t="str">
        <f t="shared" si="60"/>
        <v/>
      </c>
    </row>
    <row r="257" spans="1:28">
      <c r="A257">
        <f t="shared" si="50"/>
        <v>249</v>
      </c>
      <c r="B257">
        <f t="shared" si="26"/>
        <v>497</v>
      </c>
      <c r="C257" s="5"/>
      <c r="D257" s="6"/>
      <c r="E257" s="207"/>
      <c r="F257" s="207"/>
      <c r="H257">
        <f t="shared" si="53"/>
        <v>0</v>
      </c>
      <c r="I257" s="120" t="str">
        <f t="shared" si="51"/>
        <v/>
      </c>
      <c r="Q257">
        <f t="shared" si="54"/>
        <v>0</v>
      </c>
      <c r="R257">
        <f t="shared" si="55"/>
        <v>3</v>
      </c>
      <c r="S257">
        <f t="shared" si="56"/>
        <v>2</v>
      </c>
      <c r="T257">
        <f t="shared" si="57"/>
        <v>4</v>
      </c>
      <c r="U257">
        <f t="shared" si="58"/>
        <v>4</v>
      </c>
      <c r="W257">
        <f t="shared" si="59"/>
        <v>9999.0169999998798</v>
      </c>
      <c r="Y257">
        <f t="shared" si="47"/>
        <v>4.0020199999999235</v>
      </c>
      <c r="Z257">
        <f t="shared" si="48"/>
        <v>4.0017099999999353</v>
      </c>
      <c r="AA257" t="str">
        <f t="shared" si="49"/>
        <v/>
      </c>
      <c r="AB257" t="str">
        <f t="shared" si="60"/>
        <v/>
      </c>
    </row>
    <row r="258" spans="1:28">
      <c r="A258">
        <f t="shared" si="50"/>
        <v>250</v>
      </c>
      <c r="B258">
        <f t="shared" si="26"/>
        <v>499</v>
      </c>
      <c r="C258" s="5"/>
      <c r="D258" s="6"/>
      <c r="E258" s="207"/>
      <c r="F258" s="207"/>
      <c r="H258">
        <f t="shared" si="53"/>
        <v>0</v>
      </c>
      <c r="I258" s="120" t="str">
        <f t="shared" si="51"/>
        <v/>
      </c>
      <c r="Q258">
        <f t="shared" si="54"/>
        <v>0</v>
      </c>
      <c r="R258">
        <f t="shared" si="55"/>
        <v>3</v>
      </c>
      <c r="S258">
        <f t="shared" si="56"/>
        <v>2</v>
      </c>
      <c r="T258">
        <f t="shared" si="57"/>
        <v>4</v>
      </c>
      <c r="U258">
        <f t="shared" si="58"/>
        <v>4</v>
      </c>
      <c r="W258">
        <f t="shared" si="59"/>
        <v>9999.0170999998791</v>
      </c>
      <c r="Y258">
        <f t="shared" si="47"/>
        <v>4.0020299999999231</v>
      </c>
      <c r="Z258">
        <f t="shared" si="48"/>
        <v>4.0017199999999349</v>
      </c>
      <c r="AA258" t="str">
        <f t="shared" si="49"/>
        <v/>
      </c>
      <c r="AB258" t="str">
        <f t="shared" si="60"/>
        <v/>
      </c>
    </row>
    <row r="259" spans="1:28">
      <c r="A259">
        <f t="shared" si="50"/>
        <v>251</v>
      </c>
      <c r="B259">
        <f t="shared" si="26"/>
        <v>501</v>
      </c>
      <c r="C259" s="5"/>
      <c r="D259" s="6"/>
      <c r="E259" s="207"/>
      <c r="F259" s="207"/>
      <c r="H259">
        <f t="shared" si="53"/>
        <v>0</v>
      </c>
      <c r="I259" s="120" t="str">
        <f t="shared" si="51"/>
        <v/>
      </c>
      <c r="Q259">
        <f t="shared" si="54"/>
        <v>0</v>
      </c>
      <c r="R259">
        <f t="shared" si="55"/>
        <v>3</v>
      </c>
      <c r="S259">
        <f t="shared" si="56"/>
        <v>2</v>
      </c>
      <c r="T259">
        <f t="shared" si="57"/>
        <v>4</v>
      </c>
      <c r="U259">
        <f t="shared" si="58"/>
        <v>4</v>
      </c>
      <c r="W259">
        <f t="shared" si="59"/>
        <v>9999.0171999998784</v>
      </c>
      <c r="Y259">
        <f t="shared" si="47"/>
        <v>4.0020399999999228</v>
      </c>
      <c r="Z259">
        <f t="shared" si="48"/>
        <v>4.0017299999999345</v>
      </c>
      <c r="AA259" t="str">
        <f t="shared" si="49"/>
        <v/>
      </c>
      <c r="AB259" t="str">
        <f t="shared" si="60"/>
        <v/>
      </c>
    </row>
    <row r="260" spans="1:28">
      <c r="A260">
        <f t="shared" si="50"/>
        <v>252</v>
      </c>
      <c r="B260">
        <f t="shared" si="26"/>
        <v>503</v>
      </c>
      <c r="C260" s="5"/>
      <c r="D260" s="6"/>
      <c r="E260" s="207"/>
      <c r="F260" s="207"/>
      <c r="H260">
        <f t="shared" si="53"/>
        <v>0</v>
      </c>
      <c r="I260" s="120" t="str">
        <f t="shared" si="51"/>
        <v/>
      </c>
      <c r="Q260">
        <f t="shared" si="54"/>
        <v>0</v>
      </c>
      <c r="R260">
        <f t="shared" si="55"/>
        <v>3</v>
      </c>
      <c r="S260">
        <f t="shared" si="56"/>
        <v>2</v>
      </c>
      <c r="T260">
        <f t="shared" si="57"/>
        <v>4</v>
      </c>
      <c r="U260">
        <f t="shared" si="58"/>
        <v>4</v>
      </c>
      <c r="W260">
        <f t="shared" si="59"/>
        <v>9999.0172999998777</v>
      </c>
      <c r="Y260">
        <f t="shared" si="47"/>
        <v>4.0020499999999224</v>
      </c>
      <c r="Z260">
        <f t="shared" si="48"/>
        <v>4.0017399999999341</v>
      </c>
      <c r="AA260" t="str">
        <f t="shared" si="49"/>
        <v/>
      </c>
      <c r="AB260" t="str">
        <f t="shared" si="60"/>
        <v/>
      </c>
    </row>
    <row r="261" spans="1:28">
      <c r="A261">
        <f t="shared" si="50"/>
        <v>253</v>
      </c>
      <c r="B261">
        <f t="shared" si="26"/>
        <v>505</v>
      </c>
      <c r="C261" s="5"/>
      <c r="D261" s="6"/>
      <c r="E261" s="207"/>
      <c r="F261" s="207"/>
      <c r="H261">
        <f t="shared" si="53"/>
        <v>0</v>
      </c>
      <c r="I261" s="120" t="str">
        <f t="shared" si="51"/>
        <v/>
      </c>
      <c r="Q261">
        <f t="shared" si="54"/>
        <v>0</v>
      </c>
      <c r="R261">
        <f t="shared" si="55"/>
        <v>3</v>
      </c>
      <c r="S261">
        <f t="shared" si="56"/>
        <v>2</v>
      </c>
      <c r="T261">
        <f t="shared" si="57"/>
        <v>4</v>
      </c>
      <c r="U261">
        <f t="shared" si="58"/>
        <v>4</v>
      </c>
      <c r="W261">
        <f t="shared" si="59"/>
        <v>9999.0173999998769</v>
      </c>
      <c r="Y261">
        <f t="shared" si="47"/>
        <v>4.002059999999922</v>
      </c>
      <c r="Z261">
        <f t="shared" si="48"/>
        <v>4.0017499999999337</v>
      </c>
      <c r="AA261" t="str">
        <f t="shared" si="49"/>
        <v/>
      </c>
      <c r="AB261" t="str">
        <f t="shared" si="60"/>
        <v/>
      </c>
    </row>
    <row r="262" spans="1:28">
      <c r="A262">
        <f t="shared" si="50"/>
        <v>254</v>
      </c>
      <c r="B262">
        <f t="shared" si="26"/>
        <v>507</v>
      </c>
      <c r="C262" s="5"/>
      <c r="D262" s="6"/>
      <c r="E262" s="207"/>
      <c r="F262" s="207"/>
      <c r="H262">
        <f t="shared" si="53"/>
        <v>0</v>
      </c>
      <c r="I262" s="120" t="str">
        <f t="shared" si="51"/>
        <v/>
      </c>
      <c r="Q262">
        <f t="shared" si="54"/>
        <v>0</v>
      </c>
      <c r="R262">
        <f t="shared" si="55"/>
        <v>3</v>
      </c>
      <c r="S262">
        <f t="shared" si="56"/>
        <v>2</v>
      </c>
      <c r="T262">
        <f t="shared" si="57"/>
        <v>4</v>
      </c>
      <c r="U262">
        <f t="shared" si="58"/>
        <v>4</v>
      </c>
      <c r="W262">
        <f t="shared" si="59"/>
        <v>9999.0174999998762</v>
      </c>
      <c r="Y262">
        <f t="shared" si="47"/>
        <v>4.0020699999999216</v>
      </c>
      <c r="Z262">
        <f t="shared" si="48"/>
        <v>4.0017599999999334</v>
      </c>
      <c r="AA262" t="str">
        <f t="shared" si="49"/>
        <v/>
      </c>
      <c r="AB262" t="str">
        <f t="shared" si="60"/>
        <v/>
      </c>
    </row>
    <row r="263" spans="1:28">
      <c r="A263">
        <f t="shared" si="50"/>
        <v>255</v>
      </c>
      <c r="B263">
        <f t="shared" si="26"/>
        <v>509</v>
      </c>
      <c r="C263" s="5"/>
      <c r="D263" s="6"/>
      <c r="E263" s="207"/>
      <c r="F263" s="207"/>
      <c r="H263">
        <f t="shared" si="53"/>
        <v>0</v>
      </c>
      <c r="I263" s="120" t="str">
        <f t="shared" si="51"/>
        <v/>
      </c>
      <c r="Q263">
        <f t="shared" si="54"/>
        <v>0</v>
      </c>
      <c r="R263">
        <f t="shared" si="55"/>
        <v>3</v>
      </c>
      <c r="S263">
        <f t="shared" si="56"/>
        <v>2</v>
      </c>
      <c r="T263">
        <f t="shared" si="57"/>
        <v>4</v>
      </c>
      <c r="U263">
        <f t="shared" si="58"/>
        <v>4</v>
      </c>
      <c r="W263">
        <f t="shared" si="59"/>
        <v>9999.0175999998755</v>
      </c>
      <c r="Y263">
        <f t="shared" si="47"/>
        <v>4.0020799999999213</v>
      </c>
      <c r="Z263">
        <f t="shared" si="48"/>
        <v>4.001769999999933</v>
      </c>
      <c r="AA263" t="str">
        <f t="shared" si="49"/>
        <v/>
      </c>
      <c r="AB263" t="str">
        <f t="shared" si="60"/>
        <v/>
      </c>
    </row>
    <row r="264" spans="1:28">
      <c r="A264">
        <f t="shared" si="50"/>
        <v>256</v>
      </c>
      <c r="B264">
        <f t="shared" si="26"/>
        <v>511</v>
      </c>
      <c r="C264" s="5"/>
      <c r="D264" s="6"/>
      <c r="E264" s="207"/>
      <c r="F264" s="207"/>
      <c r="H264">
        <f t="shared" si="53"/>
        <v>0</v>
      </c>
      <c r="I264" s="120" t="str">
        <f t="shared" si="51"/>
        <v/>
      </c>
      <c r="Q264">
        <f t="shared" si="54"/>
        <v>0</v>
      </c>
      <c r="R264">
        <f t="shared" si="55"/>
        <v>3</v>
      </c>
      <c r="S264">
        <f t="shared" si="56"/>
        <v>2</v>
      </c>
      <c r="T264">
        <f t="shared" si="57"/>
        <v>4</v>
      </c>
      <c r="U264">
        <f t="shared" si="58"/>
        <v>4</v>
      </c>
      <c r="W264">
        <f t="shared" si="59"/>
        <v>9999.0176999998748</v>
      </c>
      <c r="Y264">
        <f t="shared" si="47"/>
        <v>4.0020899999999209</v>
      </c>
      <c r="Z264">
        <f t="shared" si="48"/>
        <v>4.0017799999999326</v>
      </c>
      <c r="AA264" t="str">
        <f t="shared" si="49"/>
        <v/>
      </c>
      <c r="AB264" t="str">
        <f t="shared" si="60"/>
        <v/>
      </c>
    </row>
    <row r="265" spans="1:28">
      <c r="A265">
        <f t="shared" si="50"/>
        <v>257</v>
      </c>
      <c r="B265">
        <f t="shared" si="26"/>
        <v>513</v>
      </c>
      <c r="C265" s="5"/>
      <c r="D265" s="6"/>
      <c r="E265" s="207"/>
      <c r="F265" s="207"/>
      <c r="H265">
        <f t="shared" si="53"/>
        <v>0</v>
      </c>
      <c r="I265" s="120" t="str">
        <f t="shared" si="51"/>
        <v/>
      </c>
      <c r="Q265">
        <f t="shared" si="54"/>
        <v>0</v>
      </c>
      <c r="R265">
        <f t="shared" si="55"/>
        <v>3</v>
      </c>
      <c r="S265">
        <f t="shared" si="56"/>
        <v>2</v>
      </c>
      <c r="T265">
        <f t="shared" si="57"/>
        <v>4</v>
      </c>
      <c r="U265">
        <f t="shared" si="58"/>
        <v>4</v>
      </c>
      <c r="W265">
        <f t="shared" si="59"/>
        <v>9999.0177999998741</v>
      </c>
      <c r="Y265">
        <f t="shared" si="47"/>
        <v>4.0020999999999205</v>
      </c>
      <c r="Z265">
        <f t="shared" si="48"/>
        <v>4.0017899999999322</v>
      </c>
      <c r="AA265" t="str">
        <f t="shared" si="49"/>
        <v/>
      </c>
      <c r="AB265" t="str">
        <f t="shared" si="60"/>
        <v/>
      </c>
    </row>
    <row r="266" spans="1:28">
      <c r="A266">
        <f t="shared" si="50"/>
        <v>258</v>
      </c>
      <c r="B266">
        <f t="shared" si="26"/>
        <v>515</v>
      </c>
      <c r="C266" s="5"/>
      <c r="D266" s="6"/>
      <c r="E266" s="207"/>
      <c r="F266" s="207"/>
      <c r="H266">
        <f t="shared" si="53"/>
        <v>0</v>
      </c>
      <c r="I266" s="120" t="str">
        <f t="shared" si="51"/>
        <v/>
      </c>
      <c r="Q266">
        <f t="shared" si="54"/>
        <v>0</v>
      </c>
      <c r="R266">
        <f t="shared" si="55"/>
        <v>3</v>
      </c>
      <c r="S266">
        <f t="shared" si="56"/>
        <v>2</v>
      </c>
      <c r="T266">
        <f t="shared" si="57"/>
        <v>4</v>
      </c>
      <c r="U266">
        <f t="shared" si="58"/>
        <v>4</v>
      </c>
      <c r="W266">
        <f t="shared" si="59"/>
        <v>9999.0178999998734</v>
      </c>
      <c r="Y266">
        <f t="shared" ref="Y266:Y278" si="61">IF(T266-T265=0,Y265+0.00001,T266)</f>
        <v>4.0021099999999201</v>
      </c>
      <c r="Z266">
        <f t="shared" ref="Z266:Z278" si="62">IF(U266-U265=0,Z265+0.00001,U266)</f>
        <v>4.0017999999999319</v>
      </c>
      <c r="AA266" t="str">
        <f t="shared" ref="AA266:AA278" si="63">IF(T266-T265=0,"",D266)</f>
        <v/>
      </c>
      <c r="AB266" t="str">
        <f t="shared" si="60"/>
        <v/>
      </c>
    </row>
    <row r="267" spans="1:28">
      <c r="A267">
        <f t="shared" si="50"/>
        <v>259</v>
      </c>
      <c r="B267">
        <f t="shared" si="26"/>
        <v>517</v>
      </c>
      <c r="C267" s="5"/>
      <c r="D267" s="6"/>
      <c r="E267" s="207"/>
      <c r="F267" s="207"/>
      <c r="H267">
        <f t="shared" si="53"/>
        <v>0</v>
      </c>
      <c r="I267" s="120" t="str">
        <f t="shared" si="51"/>
        <v/>
      </c>
      <c r="Q267">
        <f t="shared" si="54"/>
        <v>0</v>
      </c>
      <c r="R267">
        <f t="shared" si="55"/>
        <v>3</v>
      </c>
      <c r="S267">
        <f t="shared" si="56"/>
        <v>2</v>
      </c>
      <c r="T267">
        <f t="shared" si="57"/>
        <v>4</v>
      </c>
      <c r="U267">
        <f t="shared" si="58"/>
        <v>4</v>
      </c>
      <c r="W267">
        <f t="shared" si="59"/>
        <v>9999.0179999998727</v>
      </c>
      <c r="Y267">
        <f t="shared" si="61"/>
        <v>4.0021199999999197</v>
      </c>
      <c r="Z267">
        <f t="shared" si="62"/>
        <v>4.0018099999999315</v>
      </c>
      <c r="AA267" t="str">
        <f t="shared" si="63"/>
        <v/>
      </c>
      <c r="AB267" t="str">
        <f t="shared" si="60"/>
        <v/>
      </c>
    </row>
    <row r="268" spans="1:28">
      <c r="A268">
        <f t="shared" si="50"/>
        <v>260</v>
      </c>
      <c r="B268">
        <f t="shared" si="26"/>
        <v>519</v>
      </c>
      <c r="C268" s="5"/>
      <c r="D268" s="6"/>
      <c r="E268" s="207"/>
      <c r="F268" s="207"/>
      <c r="H268">
        <f t="shared" si="53"/>
        <v>0</v>
      </c>
      <c r="I268" s="120" t="str">
        <f t="shared" si="51"/>
        <v/>
      </c>
      <c r="Q268">
        <f t="shared" si="54"/>
        <v>0</v>
      </c>
      <c r="R268">
        <f t="shared" si="55"/>
        <v>3</v>
      </c>
      <c r="S268">
        <f t="shared" si="56"/>
        <v>2</v>
      </c>
      <c r="T268">
        <f t="shared" si="57"/>
        <v>4</v>
      </c>
      <c r="U268">
        <f t="shared" si="58"/>
        <v>4</v>
      </c>
      <c r="W268">
        <f t="shared" si="59"/>
        <v>9999.018099999872</v>
      </c>
      <c r="Y268">
        <f t="shared" si="61"/>
        <v>4.0021299999999194</v>
      </c>
      <c r="Z268">
        <f t="shared" si="62"/>
        <v>4.0018199999999311</v>
      </c>
      <c r="AA268" t="str">
        <f t="shared" si="63"/>
        <v/>
      </c>
      <c r="AB268" t="str">
        <f t="shared" si="60"/>
        <v/>
      </c>
    </row>
    <row r="269" spans="1:28">
      <c r="A269">
        <f t="shared" si="50"/>
        <v>261</v>
      </c>
      <c r="B269">
        <f t="shared" si="26"/>
        <v>521</v>
      </c>
      <c r="C269" s="5"/>
      <c r="D269" s="6"/>
      <c r="E269" s="207"/>
      <c r="F269" s="207"/>
      <c r="H269">
        <f t="shared" si="53"/>
        <v>0</v>
      </c>
      <c r="I269" s="120" t="str">
        <f t="shared" si="51"/>
        <v/>
      </c>
      <c r="Q269">
        <f t="shared" si="54"/>
        <v>0</v>
      </c>
      <c r="R269">
        <f t="shared" si="55"/>
        <v>3</v>
      </c>
      <c r="S269">
        <f t="shared" si="56"/>
        <v>2</v>
      </c>
      <c r="T269">
        <f t="shared" si="57"/>
        <v>4</v>
      </c>
      <c r="U269">
        <f t="shared" si="58"/>
        <v>4</v>
      </c>
      <c r="W269">
        <f t="shared" si="59"/>
        <v>9999.0181999998713</v>
      </c>
      <c r="Y269">
        <f t="shared" si="61"/>
        <v>4.002139999999919</v>
      </c>
      <c r="Z269">
        <f t="shared" si="62"/>
        <v>4.0018299999999307</v>
      </c>
      <c r="AA269" t="str">
        <f t="shared" si="63"/>
        <v/>
      </c>
      <c r="AB269" t="str">
        <f t="shared" si="60"/>
        <v/>
      </c>
    </row>
    <row r="270" spans="1:28">
      <c r="A270">
        <f t="shared" si="50"/>
        <v>262</v>
      </c>
      <c r="B270">
        <f t="shared" si="26"/>
        <v>523</v>
      </c>
      <c r="C270" s="5"/>
      <c r="D270" s="6"/>
      <c r="E270" s="207"/>
      <c r="F270" s="207"/>
      <c r="H270">
        <f t="shared" si="53"/>
        <v>0</v>
      </c>
      <c r="I270" s="120" t="str">
        <f t="shared" si="51"/>
        <v/>
      </c>
      <c r="Q270">
        <f t="shared" si="54"/>
        <v>0</v>
      </c>
      <c r="R270">
        <f t="shared" si="55"/>
        <v>3</v>
      </c>
      <c r="S270">
        <f t="shared" si="56"/>
        <v>2</v>
      </c>
      <c r="T270">
        <f t="shared" si="57"/>
        <v>4</v>
      </c>
      <c r="U270">
        <f t="shared" si="58"/>
        <v>4</v>
      </c>
      <c r="W270">
        <f t="shared" si="59"/>
        <v>9999.0182999998706</v>
      </c>
      <c r="Y270">
        <f t="shared" si="61"/>
        <v>4.0021499999999186</v>
      </c>
      <c r="Z270">
        <f t="shared" si="62"/>
        <v>4.0018399999999303</v>
      </c>
      <c r="AA270" t="str">
        <f t="shared" si="63"/>
        <v/>
      </c>
      <c r="AB270" t="str">
        <f t="shared" si="60"/>
        <v/>
      </c>
    </row>
    <row r="271" spans="1:28">
      <c r="A271">
        <f t="shared" si="50"/>
        <v>263</v>
      </c>
      <c r="B271">
        <f t="shared" si="26"/>
        <v>525</v>
      </c>
      <c r="C271" s="5"/>
      <c r="D271" s="6"/>
      <c r="E271" s="207"/>
      <c r="F271" s="207"/>
      <c r="H271">
        <f t="shared" si="53"/>
        <v>0</v>
      </c>
      <c r="I271" s="120" t="str">
        <f t="shared" si="51"/>
        <v/>
      </c>
      <c r="Q271">
        <f t="shared" si="54"/>
        <v>0</v>
      </c>
      <c r="R271">
        <f t="shared" si="55"/>
        <v>3</v>
      </c>
      <c r="S271">
        <f t="shared" si="56"/>
        <v>2</v>
      </c>
      <c r="T271">
        <f t="shared" si="57"/>
        <v>4</v>
      </c>
      <c r="U271">
        <f t="shared" si="58"/>
        <v>4</v>
      </c>
      <c r="W271">
        <f t="shared" si="59"/>
        <v>9999.0183999998699</v>
      </c>
      <c r="Y271">
        <f t="shared" si="61"/>
        <v>4.0021599999999182</v>
      </c>
      <c r="Z271">
        <f t="shared" si="62"/>
        <v>4.00184999999993</v>
      </c>
      <c r="AA271" t="str">
        <f t="shared" si="63"/>
        <v/>
      </c>
      <c r="AB271" t="str">
        <f t="shared" si="60"/>
        <v/>
      </c>
    </row>
    <row r="272" spans="1:28">
      <c r="A272">
        <f t="shared" si="50"/>
        <v>264</v>
      </c>
      <c r="B272">
        <f t="shared" si="26"/>
        <v>527</v>
      </c>
      <c r="C272" s="5"/>
      <c r="D272" s="6"/>
      <c r="E272" s="207"/>
      <c r="F272" s="207"/>
      <c r="H272">
        <f t="shared" ref="H272:H278" si="64">C272</f>
        <v>0</v>
      </c>
      <c r="I272" s="120" t="str">
        <f>IF(AND(AND(C272="",D272="",E272="",F272=""),OR(C273&lt;&gt;"",D273&lt;&gt;"")),"Bitte diese Zeile nicht leer lassen",IF(AND(D272&lt;&gt;"",OR(C272&lt;&gt;"",E272&lt;&gt;"",F272&lt;&gt;"")),"Bitte Zeile nur als Titelzeile (Spalte D) oder als Kontozeile (andere Spalten) verwenden",IF(E272="","",IF(AND(E272&lt;&gt;"",F272&lt;&gt;"",C272=""),"Bitte gültige Kontokategorie (s. oben) zuweisen",IF(OR(E272&lt;=E271,E272&lt;=E270),"Kontonummern müssen aufsteigend eingegeben werden.",IF(OR(E272&lt;1000,E272&gt;9999),CONCATENATE(E272," auf Spalte F ist keine vierstellige Kontonummer"),IF(OR(C272=C$3,C272=C$4,C272=C$5,C272=C$6),"","Bitte gültige Kontokategorie eingeben")))))))</f>
        <v/>
      </c>
      <c r="Q272">
        <f t="shared" si="41"/>
        <v>0</v>
      </c>
      <c r="R272">
        <f t="shared" ref="R272:R278" si="65">IF(OR(AND(D272&lt;&gt;"",C273="",C274=$C$3),AND(D272&lt;&gt;"",C273=$C$3)),R271+1,R271)</f>
        <v>3</v>
      </c>
      <c r="S272">
        <f t="shared" ref="S272:S278" si="66">IF(OR(AND(D272&lt;&gt;"",C273="",C274=$C$4),AND(D272&lt;&gt;"",C273=$C$4)),S271+1,S271)</f>
        <v>2</v>
      </c>
      <c r="T272">
        <f t="shared" ref="T272:T278" si="67">IF(OR(AND(D272&lt;&gt;"",C273="",C274=$C$5),AND(D272&lt;&gt;"",C273=$C$5)),T271+1,T271)</f>
        <v>4</v>
      </c>
      <c r="U272">
        <f t="shared" ref="U272:U278" si="68">IF(OR(AND(D272&lt;&gt;"",C273="",C274=$C$6),AND(D272&lt;&gt;"",C273=$C$6)),U271+1,U271)</f>
        <v>4</v>
      </c>
      <c r="W272">
        <f t="shared" si="46"/>
        <v>9999.0184999998692</v>
      </c>
      <c r="Y272">
        <f t="shared" si="61"/>
        <v>4.0021699999999178</v>
      </c>
      <c r="Z272">
        <f t="shared" si="62"/>
        <v>4.0018599999999296</v>
      </c>
      <c r="AA272" t="str">
        <f t="shared" si="63"/>
        <v/>
      </c>
      <c r="AB272" t="str">
        <f t="shared" si="60"/>
        <v/>
      </c>
    </row>
    <row r="273" spans="1:28">
      <c r="A273">
        <f t="shared" si="50"/>
        <v>265</v>
      </c>
      <c r="B273">
        <f t="shared" si="26"/>
        <v>529</v>
      </c>
      <c r="C273" s="5"/>
      <c r="D273" s="6"/>
      <c r="E273" s="207"/>
      <c r="F273" s="207"/>
      <c r="H273">
        <f t="shared" si="64"/>
        <v>0</v>
      </c>
      <c r="I273" s="120" t="str">
        <f>IF(AND(AND(C273="",D273="",E273="",F273=""),OR(C274&lt;&gt;"",D274&lt;&gt;"")),"Bitte diese Zeile nicht leer lassen",IF(AND(D273&lt;&gt;"",OR(C273&lt;&gt;"",E273&lt;&gt;"",F273&lt;&gt;"")),"Bitte Zeile nur als Titelzeile (Spalte D) oder als Kontozeile (andere Spalten) verwenden",IF(E273="","",IF(AND(E273&lt;&gt;"",F273&lt;&gt;"",C273=""),"Bitte gültige Kontokategorie (s. oben) zuweisen",IF(OR(E273&lt;=E272,E273&lt;=E271),"Kontonummern müssen aufsteigend eingegeben werden.",IF(OR(E273&lt;1000,E273&gt;9999),CONCATENATE(E273," auf Spalte F ist keine vierstellige Kontonummer"),IF(OR(C273=C$3,C273=C$4,C273=C$5,C273=C$6),"","Bitte gültige Kontokategorie eingeben")))))))</f>
        <v/>
      </c>
      <c r="Q273">
        <f t="shared" si="41"/>
        <v>0</v>
      </c>
      <c r="R273">
        <f t="shared" si="65"/>
        <v>3</v>
      </c>
      <c r="S273">
        <f t="shared" si="66"/>
        <v>2</v>
      </c>
      <c r="T273">
        <f t="shared" si="67"/>
        <v>4</v>
      </c>
      <c r="U273">
        <f t="shared" si="68"/>
        <v>4</v>
      </c>
      <c r="W273">
        <f t="shared" si="46"/>
        <v>9999.0185999998685</v>
      </c>
      <c r="Y273">
        <f t="shared" si="61"/>
        <v>4.0021799999999175</v>
      </c>
      <c r="Z273">
        <f t="shared" si="62"/>
        <v>4.0018699999999292</v>
      </c>
      <c r="AA273" t="str">
        <f t="shared" si="63"/>
        <v/>
      </c>
      <c r="AB273" t="str">
        <f t="shared" si="60"/>
        <v/>
      </c>
    </row>
    <row r="274" spans="1:28">
      <c r="A274">
        <f t="shared" si="50"/>
        <v>266</v>
      </c>
      <c r="B274">
        <f t="shared" si="26"/>
        <v>531</v>
      </c>
      <c r="C274" s="5"/>
      <c r="D274" s="6"/>
      <c r="E274" s="207"/>
      <c r="F274" s="207"/>
      <c r="H274">
        <f t="shared" si="64"/>
        <v>0</v>
      </c>
      <c r="I274" s="120" t="str">
        <f>IF(AND(AND(C274="",D274="",E274="",F274=""),OR(C275&lt;&gt;"",D275&lt;&gt;"")),"Bitte diese Zeile nicht leer lassen",IF(AND(D274&lt;&gt;"",OR(C274&lt;&gt;"",E274&lt;&gt;"",F274&lt;&gt;"")),"Bitte Zeile nur als Titelzeile (Spalte D) oder als Kontozeile (andere Spalten) verwenden",IF(E274="","",IF(AND(E274&lt;&gt;"",F274&lt;&gt;"",C274=""),"Bitte gültige Kontokategorie (s. oben) zuweisen",IF(OR(E274&lt;=E273,E274&lt;=E272),"Kontonummern müssen aufsteigend eingegeben werden.",IF(OR(E274&lt;1000,E274&gt;9999),CONCATENATE(E274," auf Spalte F ist keine vierstellige Kontonummer"),IF(OR(C274=C$3,C274=C$4,C274=C$5,C274=C$6),"","Bitte gültige Kontokategorie eingeben")))))))</f>
        <v/>
      </c>
      <c r="Q274">
        <f t="shared" si="41"/>
        <v>0</v>
      </c>
      <c r="R274">
        <f t="shared" si="65"/>
        <v>3</v>
      </c>
      <c r="S274">
        <f t="shared" si="66"/>
        <v>2</v>
      </c>
      <c r="T274">
        <f t="shared" si="67"/>
        <v>4</v>
      </c>
      <c r="U274">
        <f t="shared" si="68"/>
        <v>4</v>
      </c>
      <c r="W274">
        <f t="shared" si="46"/>
        <v>9999.0186999998677</v>
      </c>
      <c r="Y274">
        <f t="shared" si="61"/>
        <v>4.0021899999999171</v>
      </c>
      <c r="Z274">
        <f t="shared" si="62"/>
        <v>4.0018799999999288</v>
      </c>
      <c r="AA274" t="str">
        <f t="shared" si="63"/>
        <v/>
      </c>
      <c r="AB274" t="str">
        <f t="shared" si="60"/>
        <v/>
      </c>
    </row>
    <row r="275" spans="1:28">
      <c r="A275">
        <f t="shared" si="50"/>
        <v>267</v>
      </c>
      <c r="B275">
        <f t="shared" si="26"/>
        <v>533</v>
      </c>
      <c r="C275" s="5"/>
      <c r="D275" s="6"/>
      <c r="E275" s="207"/>
      <c r="F275" s="207"/>
      <c r="H275">
        <f t="shared" si="64"/>
        <v>0</v>
      </c>
      <c r="I275" s="120" t="str">
        <f>IF(AND(AND(C275="",D275="",E275="",F275=""),OR(C276&lt;&gt;"",D276&lt;&gt;"")),"Bitte diese Zeile nicht leer lassen",IF(AND(D275&lt;&gt;"",OR(C275&lt;&gt;"",E275&lt;&gt;"",F275&lt;&gt;"")),"Bitte Zeile nur als Titelzeile (Spalte D) oder als Kontozeile (andere Spalten) verwenden",IF(E275="","",IF(AND(E275&lt;&gt;"",F275&lt;&gt;"",C275=""),"Bitte gültige Kontokategorie (s. oben) zuweisen",IF(OR(E275&lt;=E274,E275&lt;=E273),"Kontonummern müssen aufsteigend eingegeben werden.",IF(OR(E275&lt;1000,E275&gt;9999),CONCATENATE(E275," auf Spalte F ist keine vierstellige Kontonummer"),IF(OR(C275=C$3,C275=C$4,C275=C$5,C275=C$6),"","Bitte gültige Kontokategorie eingeben")))))))</f>
        <v/>
      </c>
      <c r="Q275">
        <f t="shared" si="41"/>
        <v>0</v>
      </c>
      <c r="R275">
        <f t="shared" si="65"/>
        <v>3</v>
      </c>
      <c r="S275">
        <f t="shared" si="66"/>
        <v>2</v>
      </c>
      <c r="T275">
        <f t="shared" si="67"/>
        <v>4</v>
      </c>
      <c r="U275">
        <f t="shared" si="68"/>
        <v>4</v>
      </c>
      <c r="W275">
        <f t="shared" si="46"/>
        <v>9999.018799999867</v>
      </c>
      <c r="Y275">
        <f t="shared" si="61"/>
        <v>4.0021999999999167</v>
      </c>
      <c r="Z275">
        <f t="shared" si="62"/>
        <v>4.0018899999999284</v>
      </c>
      <c r="AA275" t="str">
        <f t="shared" si="63"/>
        <v/>
      </c>
      <c r="AB275" t="str">
        <f t="shared" si="60"/>
        <v/>
      </c>
    </row>
    <row r="276" spans="1:28">
      <c r="A276">
        <f t="shared" si="50"/>
        <v>268</v>
      </c>
      <c r="B276">
        <f t="shared" si="26"/>
        <v>535</v>
      </c>
      <c r="C276" s="5"/>
      <c r="D276" s="6"/>
      <c r="E276" s="207"/>
      <c r="F276" s="207"/>
      <c r="H276">
        <f t="shared" si="64"/>
        <v>0</v>
      </c>
      <c r="I276" s="120" t="str">
        <f>IF(AND(AND(C276="",D276="",E276="",F276=""),OR(C277&lt;&gt;"",D277&lt;&gt;"")),"Bitte diese Zeile nicht leer lassen",IF(AND(D276&lt;&gt;"",OR(C276&lt;&gt;"",E276&lt;&gt;"",F276&lt;&gt;"")),"Bitte Zeile nur als Titelzeile (Spalte D) oder als Kontozeile (andere Spalten) verwenden",IF(E276="","",IF(AND(E276&lt;&gt;"",F276&lt;&gt;"",C276=""),"Bitte gültige Kontokategorie (s. oben) zuweisen",IF(OR(E276&lt;=E275,E276&lt;=E274),"Kontonummern müssen aufsteigend eingegeben werden.",IF(OR(E276&lt;1000,E276&gt;9999),CONCATENATE(E276," auf Spalte F ist keine vierstellige Kontonummer"),IF(OR(C276=C$3,C276=C$4,C276=C$5,C276=C$6),"","Bitte gültige Kontokategorie eingeben")))))))</f>
        <v/>
      </c>
      <c r="Q276">
        <f t="shared" si="41"/>
        <v>0</v>
      </c>
      <c r="R276">
        <f t="shared" si="65"/>
        <v>3</v>
      </c>
      <c r="S276">
        <f t="shared" si="66"/>
        <v>2</v>
      </c>
      <c r="T276">
        <f t="shared" si="67"/>
        <v>4</v>
      </c>
      <c r="U276">
        <f t="shared" si="68"/>
        <v>4</v>
      </c>
      <c r="W276">
        <f t="shared" si="46"/>
        <v>9999.0188999998663</v>
      </c>
      <c r="Y276">
        <f t="shared" si="61"/>
        <v>4.0022099999999163</v>
      </c>
      <c r="Z276">
        <f t="shared" si="62"/>
        <v>4.0018999999999281</v>
      </c>
      <c r="AA276" t="str">
        <f t="shared" si="63"/>
        <v/>
      </c>
      <c r="AB276" t="str">
        <f t="shared" si="60"/>
        <v/>
      </c>
    </row>
    <row r="277" spans="1:28">
      <c r="A277">
        <f t="shared" si="50"/>
        <v>269</v>
      </c>
      <c r="B277">
        <f t="shared" si="26"/>
        <v>537</v>
      </c>
      <c r="C277" s="163"/>
      <c r="D277" s="164"/>
      <c r="E277" s="208"/>
      <c r="F277" s="208"/>
      <c r="H277">
        <f t="shared" si="64"/>
        <v>0</v>
      </c>
      <c r="I277" s="120" t="str">
        <f>IF(AND(D277&lt;&gt;"",OR(C277&lt;&gt;"",E277&lt;&gt;"",F277&lt;&gt;"")),"Bitte Zeile nur als Titelzeile (Spalte D) oder als Kontozeile (andere Spalten) verwenden",IF(E277="","",IF(AND(E277&lt;&gt;"",F277&lt;&gt;"",C277=""),"Bitte gültige Kontokategorie (s. oben) zuweisen",IF(OR(E277&lt;=E276,E277&lt;=E275),"Kontonummern müssen aufsteigend eingegeben werden.",IF(OR(E277&lt;1000,E277&gt;9999),CONCATENATE(E277," auf Spalte F ist keine vierstellige Kontonummer"),IF(OR(C277=C$3,C277=C$4,C277=C$5,C277=C$6),"","Bitte gültige Kontokategorie eingeben"))))))</f>
        <v/>
      </c>
      <c r="Q277">
        <f t="shared" si="41"/>
        <v>0</v>
      </c>
      <c r="R277">
        <f t="shared" si="65"/>
        <v>3</v>
      </c>
      <c r="S277">
        <f t="shared" si="66"/>
        <v>2</v>
      </c>
      <c r="T277">
        <f t="shared" si="67"/>
        <v>4</v>
      </c>
      <c r="U277">
        <f t="shared" si="68"/>
        <v>4</v>
      </c>
      <c r="W277">
        <f t="shared" si="46"/>
        <v>9999.0189999998656</v>
      </c>
      <c r="Y277">
        <f t="shared" si="61"/>
        <v>4.002219999999916</v>
      </c>
      <c r="Z277">
        <f t="shared" si="62"/>
        <v>4.0019099999999277</v>
      </c>
      <c r="AA277" t="str">
        <f t="shared" si="63"/>
        <v/>
      </c>
      <c r="AB277" t="str">
        <f t="shared" si="60"/>
        <v/>
      </c>
    </row>
    <row r="278" spans="1:28">
      <c r="A278">
        <f t="shared" si="50"/>
        <v>270</v>
      </c>
      <c r="B278">
        <f t="shared" si="26"/>
        <v>539</v>
      </c>
      <c r="C278" s="126" t="s">
        <v>164</v>
      </c>
      <c r="D278" s="8"/>
      <c r="E278" s="209"/>
      <c r="F278" s="209"/>
      <c r="H278" t="str">
        <f t="shared" si="64"/>
        <v>Sollten Sie noch mehr Konten/ Zeilen benötigen, schreiben Sie eine E-mail an vereinsbuchhaltung@bluemail.ch. Sie werden gegen ein kleines Entgelt eine erweiterte Version erhalten.</v>
      </c>
      <c r="I278" s="7"/>
      <c r="Q278">
        <f>E278</f>
        <v>0</v>
      </c>
      <c r="R278">
        <f t="shared" si="65"/>
        <v>3</v>
      </c>
      <c r="S278">
        <f t="shared" si="66"/>
        <v>2</v>
      </c>
      <c r="T278">
        <f t="shared" si="67"/>
        <v>4</v>
      </c>
      <c r="U278">
        <f t="shared" si="68"/>
        <v>4</v>
      </c>
      <c r="W278">
        <f>IF(E278="",W277+0.0001,E278)</f>
        <v>9999.0190999998649</v>
      </c>
      <c r="Y278">
        <f t="shared" si="61"/>
        <v>4.0022299999999156</v>
      </c>
      <c r="Z278">
        <f t="shared" si="62"/>
        <v>4.0019199999999273</v>
      </c>
      <c r="AA278" t="str">
        <f t="shared" si="63"/>
        <v/>
      </c>
      <c r="AB278" t="str">
        <f t="shared" si="60"/>
        <v/>
      </c>
    </row>
    <row r="279" spans="1:28">
      <c r="C279" s="202">
        <f>COUNTIF(C$9:C$278,C3)</f>
        <v>7</v>
      </c>
      <c r="D279" s="200"/>
      <c r="E279" s="200"/>
      <c r="F279" s="200"/>
      <c r="Y279">
        <f>ROUND(1+Y278,0)</f>
        <v>5</v>
      </c>
      <c r="Z279">
        <f>ROUND(1+Z278,0)</f>
        <v>5</v>
      </c>
    </row>
    <row r="280" spans="1:28">
      <c r="C280" s="202">
        <f>COUNTIF(C$9:C$278,C4)</f>
        <v>7</v>
      </c>
      <c r="Y280">
        <f>Y279+1</f>
        <v>6</v>
      </c>
      <c r="Z280">
        <f>Z279+1</f>
        <v>6</v>
      </c>
    </row>
    <row r="281" spans="1:28">
      <c r="C281" s="202">
        <f>COUNTIF(C$9:C$278,C5)</f>
        <v>27</v>
      </c>
      <c r="Y281">
        <f t="shared" ref="Y281:Y344" si="69">Y280+1</f>
        <v>7</v>
      </c>
      <c r="Z281">
        <f t="shared" ref="Z281:Z344" si="70">Z280+1</f>
        <v>7</v>
      </c>
    </row>
    <row r="282" spans="1:28">
      <c r="C282" s="202">
        <f>COUNTIF(C$9:C$278,C6)</f>
        <v>25</v>
      </c>
      <c r="Y282">
        <f t="shared" si="69"/>
        <v>8</v>
      </c>
      <c r="Z282">
        <f t="shared" si="70"/>
        <v>8</v>
      </c>
    </row>
    <row r="283" spans="1:28">
      <c r="C283" s="202">
        <v>0</v>
      </c>
      <c r="Y283">
        <f t="shared" si="69"/>
        <v>9</v>
      </c>
      <c r="Z283">
        <f t="shared" si="70"/>
        <v>9</v>
      </c>
    </row>
    <row r="284" spans="1:28">
      <c r="Y284">
        <f t="shared" si="69"/>
        <v>10</v>
      </c>
      <c r="Z284">
        <f t="shared" si="70"/>
        <v>10</v>
      </c>
    </row>
    <row r="285" spans="1:28">
      <c r="Y285">
        <f t="shared" si="69"/>
        <v>11</v>
      </c>
      <c r="Z285">
        <f t="shared" si="70"/>
        <v>11</v>
      </c>
    </row>
    <row r="286" spans="1:28">
      <c r="Y286">
        <f t="shared" si="69"/>
        <v>12</v>
      </c>
      <c r="Z286">
        <f t="shared" si="70"/>
        <v>12</v>
      </c>
    </row>
    <row r="287" spans="1:28">
      <c r="Y287">
        <f t="shared" si="69"/>
        <v>13</v>
      </c>
      <c r="Z287">
        <f t="shared" si="70"/>
        <v>13</v>
      </c>
    </row>
    <row r="288" spans="1:28">
      <c r="Y288">
        <f t="shared" si="69"/>
        <v>14</v>
      </c>
      <c r="Z288">
        <f t="shared" si="70"/>
        <v>14</v>
      </c>
    </row>
    <row r="289" spans="25:26">
      <c r="Y289">
        <f t="shared" si="69"/>
        <v>15</v>
      </c>
      <c r="Z289">
        <f t="shared" si="70"/>
        <v>15</v>
      </c>
    </row>
    <row r="290" spans="25:26">
      <c r="Y290">
        <f t="shared" si="69"/>
        <v>16</v>
      </c>
      <c r="Z290">
        <f t="shared" si="70"/>
        <v>16</v>
      </c>
    </row>
    <row r="291" spans="25:26">
      <c r="Y291">
        <f t="shared" si="69"/>
        <v>17</v>
      </c>
      <c r="Z291">
        <f t="shared" si="70"/>
        <v>17</v>
      </c>
    </row>
    <row r="292" spans="25:26">
      <c r="Y292">
        <f t="shared" si="69"/>
        <v>18</v>
      </c>
      <c r="Z292">
        <f t="shared" si="70"/>
        <v>18</v>
      </c>
    </row>
    <row r="293" spans="25:26">
      <c r="Y293">
        <f t="shared" si="69"/>
        <v>19</v>
      </c>
      <c r="Z293">
        <f t="shared" si="70"/>
        <v>19</v>
      </c>
    </row>
    <row r="294" spans="25:26">
      <c r="Y294">
        <f t="shared" si="69"/>
        <v>20</v>
      </c>
      <c r="Z294">
        <f t="shared" si="70"/>
        <v>20</v>
      </c>
    </row>
    <row r="295" spans="25:26">
      <c r="Y295">
        <f t="shared" si="69"/>
        <v>21</v>
      </c>
      <c r="Z295">
        <f t="shared" si="70"/>
        <v>21</v>
      </c>
    </row>
    <row r="296" spans="25:26">
      <c r="Y296">
        <f t="shared" si="69"/>
        <v>22</v>
      </c>
      <c r="Z296">
        <f t="shared" si="70"/>
        <v>22</v>
      </c>
    </row>
    <row r="297" spans="25:26">
      <c r="Y297">
        <f t="shared" si="69"/>
        <v>23</v>
      </c>
      <c r="Z297">
        <f t="shared" si="70"/>
        <v>23</v>
      </c>
    </row>
    <row r="298" spans="25:26">
      <c r="Y298">
        <f t="shared" si="69"/>
        <v>24</v>
      </c>
      <c r="Z298">
        <f t="shared" si="70"/>
        <v>24</v>
      </c>
    </row>
    <row r="299" spans="25:26">
      <c r="Y299">
        <f t="shared" si="69"/>
        <v>25</v>
      </c>
      <c r="Z299">
        <f t="shared" si="70"/>
        <v>25</v>
      </c>
    </row>
    <row r="300" spans="25:26">
      <c r="Y300">
        <f t="shared" si="69"/>
        <v>26</v>
      </c>
      <c r="Z300">
        <f t="shared" si="70"/>
        <v>26</v>
      </c>
    </row>
    <row r="301" spans="25:26">
      <c r="Y301">
        <f t="shared" si="69"/>
        <v>27</v>
      </c>
      <c r="Z301">
        <f t="shared" si="70"/>
        <v>27</v>
      </c>
    </row>
    <row r="302" spans="25:26">
      <c r="Y302">
        <f t="shared" si="69"/>
        <v>28</v>
      </c>
      <c r="Z302">
        <f t="shared" si="70"/>
        <v>28</v>
      </c>
    </row>
    <row r="303" spans="25:26">
      <c r="Y303">
        <f t="shared" si="69"/>
        <v>29</v>
      </c>
      <c r="Z303">
        <f t="shared" si="70"/>
        <v>29</v>
      </c>
    </row>
    <row r="304" spans="25:26">
      <c r="Y304">
        <f t="shared" si="69"/>
        <v>30</v>
      </c>
      <c r="Z304">
        <f t="shared" si="70"/>
        <v>30</v>
      </c>
    </row>
    <row r="305" spans="25:26">
      <c r="Y305">
        <f t="shared" si="69"/>
        <v>31</v>
      </c>
      <c r="Z305">
        <f t="shared" si="70"/>
        <v>31</v>
      </c>
    </row>
    <row r="306" spans="25:26">
      <c r="Y306">
        <f t="shared" si="69"/>
        <v>32</v>
      </c>
      <c r="Z306">
        <f t="shared" si="70"/>
        <v>32</v>
      </c>
    </row>
    <row r="307" spans="25:26">
      <c r="Y307">
        <f t="shared" si="69"/>
        <v>33</v>
      </c>
      <c r="Z307">
        <f t="shared" si="70"/>
        <v>33</v>
      </c>
    </row>
    <row r="308" spans="25:26">
      <c r="Y308">
        <f t="shared" si="69"/>
        <v>34</v>
      </c>
      <c r="Z308">
        <f t="shared" si="70"/>
        <v>34</v>
      </c>
    </row>
    <row r="309" spans="25:26">
      <c r="Y309">
        <f t="shared" si="69"/>
        <v>35</v>
      </c>
      <c r="Z309">
        <f t="shared" si="70"/>
        <v>35</v>
      </c>
    </row>
    <row r="310" spans="25:26">
      <c r="Y310">
        <f t="shared" si="69"/>
        <v>36</v>
      </c>
      <c r="Z310">
        <f t="shared" si="70"/>
        <v>36</v>
      </c>
    </row>
    <row r="311" spans="25:26">
      <c r="Y311">
        <f t="shared" si="69"/>
        <v>37</v>
      </c>
      <c r="Z311">
        <f t="shared" si="70"/>
        <v>37</v>
      </c>
    </row>
    <row r="312" spans="25:26">
      <c r="Y312">
        <f t="shared" si="69"/>
        <v>38</v>
      </c>
      <c r="Z312">
        <f t="shared" si="70"/>
        <v>38</v>
      </c>
    </row>
    <row r="313" spans="25:26">
      <c r="Y313">
        <f t="shared" si="69"/>
        <v>39</v>
      </c>
      <c r="Z313">
        <f t="shared" si="70"/>
        <v>39</v>
      </c>
    </row>
    <row r="314" spans="25:26">
      <c r="Y314">
        <f t="shared" si="69"/>
        <v>40</v>
      </c>
      <c r="Z314">
        <f t="shared" si="70"/>
        <v>40</v>
      </c>
    </row>
    <row r="315" spans="25:26">
      <c r="Y315">
        <f t="shared" si="69"/>
        <v>41</v>
      </c>
      <c r="Z315">
        <f t="shared" si="70"/>
        <v>41</v>
      </c>
    </row>
    <row r="316" spans="25:26">
      <c r="Y316">
        <f t="shared" si="69"/>
        <v>42</v>
      </c>
      <c r="Z316">
        <f t="shared" si="70"/>
        <v>42</v>
      </c>
    </row>
    <row r="317" spans="25:26">
      <c r="Y317">
        <f t="shared" si="69"/>
        <v>43</v>
      </c>
      <c r="Z317">
        <f t="shared" si="70"/>
        <v>43</v>
      </c>
    </row>
    <row r="318" spans="25:26">
      <c r="Y318">
        <f t="shared" si="69"/>
        <v>44</v>
      </c>
      <c r="Z318">
        <f t="shared" si="70"/>
        <v>44</v>
      </c>
    </row>
    <row r="319" spans="25:26">
      <c r="Y319">
        <f t="shared" si="69"/>
        <v>45</v>
      </c>
      <c r="Z319">
        <f t="shared" si="70"/>
        <v>45</v>
      </c>
    </row>
    <row r="320" spans="25:26">
      <c r="Y320">
        <f t="shared" si="69"/>
        <v>46</v>
      </c>
      <c r="Z320">
        <f t="shared" si="70"/>
        <v>46</v>
      </c>
    </row>
    <row r="321" spans="25:26">
      <c r="Y321">
        <f t="shared" si="69"/>
        <v>47</v>
      </c>
      <c r="Z321">
        <f t="shared" si="70"/>
        <v>47</v>
      </c>
    </row>
    <row r="322" spans="25:26">
      <c r="Y322">
        <f t="shared" si="69"/>
        <v>48</v>
      </c>
      <c r="Z322">
        <f t="shared" si="70"/>
        <v>48</v>
      </c>
    </row>
    <row r="323" spans="25:26">
      <c r="Y323">
        <f t="shared" si="69"/>
        <v>49</v>
      </c>
      <c r="Z323">
        <f t="shared" si="70"/>
        <v>49</v>
      </c>
    </row>
    <row r="324" spans="25:26">
      <c r="Y324">
        <f t="shared" si="69"/>
        <v>50</v>
      </c>
      <c r="Z324">
        <f t="shared" si="70"/>
        <v>50</v>
      </c>
    </row>
    <row r="325" spans="25:26">
      <c r="Y325">
        <f t="shared" si="69"/>
        <v>51</v>
      </c>
      <c r="Z325">
        <f t="shared" si="70"/>
        <v>51</v>
      </c>
    </row>
    <row r="326" spans="25:26">
      <c r="Y326">
        <f t="shared" si="69"/>
        <v>52</v>
      </c>
      <c r="Z326">
        <f t="shared" si="70"/>
        <v>52</v>
      </c>
    </row>
    <row r="327" spans="25:26">
      <c r="Y327">
        <f t="shared" si="69"/>
        <v>53</v>
      </c>
      <c r="Z327">
        <f t="shared" si="70"/>
        <v>53</v>
      </c>
    </row>
    <row r="328" spans="25:26">
      <c r="Y328">
        <f t="shared" si="69"/>
        <v>54</v>
      </c>
      <c r="Z328">
        <f t="shared" si="70"/>
        <v>54</v>
      </c>
    </row>
    <row r="329" spans="25:26">
      <c r="Y329">
        <f t="shared" si="69"/>
        <v>55</v>
      </c>
      <c r="Z329">
        <f t="shared" si="70"/>
        <v>55</v>
      </c>
    </row>
    <row r="330" spans="25:26">
      <c r="Y330">
        <f t="shared" si="69"/>
        <v>56</v>
      </c>
      <c r="Z330">
        <f t="shared" si="70"/>
        <v>56</v>
      </c>
    </row>
    <row r="331" spans="25:26">
      <c r="Y331">
        <f t="shared" si="69"/>
        <v>57</v>
      </c>
      <c r="Z331">
        <f t="shared" si="70"/>
        <v>57</v>
      </c>
    </row>
    <row r="332" spans="25:26">
      <c r="Y332">
        <f t="shared" si="69"/>
        <v>58</v>
      </c>
      <c r="Z332">
        <f t="shared" si="70"/>
        <v>58</v>
      </c>
    </row>
    <row r="333" spans="25:26">
      <c r="Y333">
        <f t="shared" si="69"/>
        <v>59</v>
      </c>
      <c r="Z333">
        <f t="shared" si="70"/>
        <v>59</v>
      </c>
    </row>
    <row r="334" spans="25:26">
      <c r="Y334">
        <f t="shared" si="69"/>
        <v>60</v>
      </c>
      <c r="Z334">
        <f t="shared" si="70"/>
        <v>60</v>
      </c>
    </row>
    <row r="335" spans="25:26">
      <c r="Y335">
        <f t="shared" si="69"/>
        <v>61</v>
      </c>
      <c r="Z335">
        <f t="shared" si="70"/>
        <v>61</v>
      </c>
    </row>
    <row r="336" spans="25:26">
      <c r="Y336">
        <f t="shared" si="69"/>
        <v>62</v>
      </c>
      <c r="Z336">
        <f t="shared" si="70"/>
        <v>62</v>
      </c>
    </row>
    <row r="337" spans="25:26">
      <c r="Y337">
        <f t="shared" si="69"/>
        <v>63</v>
      </c>
      <c r="Z337">
        <f t="shared" si="70"/>
        <v>63</v>
      </c>
    </row>
    <row r="338" spans="25:26">
      <c r="Y338">
        <f t="shared" si="69"/>
        <v>64</v>
      </c>
      <c r="Z338">
        <f t="shared" si="70"/>
        <v>64</v>
      </c>
    </row>
    <row r="339" spans="25:26">
      <c r="Y339">
        <f t="shared" si="69"/>
        <v>65</v>
      </c>
      <c r="Z339">
        <f t="shared" si="70"/>
        <v>65</v>
      </c>
    </row>
    <row r="340" spans="25:26">
      <c r="Y340">
        <f t="shared" si="69"/>
        <v>66</v>
      </c>
      <c r="Z340">
        <f t="shared" si="70"/>
        <v>66</v>
      </c>
    </row>
    <row r="341" spans="25:26">
      <c r="Y341">
        <f t="shared" si="69"/>
        <v>67</v>
      </c>
      <c r="Z341">
        <f t="shared" si="70"/>
        <v>67</v>
      </c>
    </row>
    <row r="342" spans="25:26">
      <c r="Y342">
        <f t="shared" si="69"/>
        <v>68</v>
      </c>
      <c r="Z342">
        <f t="shared" si="70"/>
        <v>68</v>
      </c>
    </row>
    <row r="343" spans="25:26">
      <c r="Y343">
        <f t="shared" si="69"/>
        <v>69</v>
      </c>
      <c r="Z343">
        <f t="shared" si="70"/>
        <v>69</v>
      </c>
    </row>
    <row r="344" spans="25:26">
      <c r="Y344">
        <f t="shared" si="69"/>
        <v>70</v>
      </c>
      <c r="Z344">
        <f t="shared" si="70"/>
        <v>70</v>
      </c>
    </row>
    <row r="345" spans="25:26">
      <c r="Y345">
        <f t="shared" ref="Y345:Y408" si="71">Y344+1</f>
        <v>71</v>
      </c>
      <c r="Z345">
        <f t="shared" ref="Z345:Z408" si="72">Z344+1</f>
        <v>71</v>
      </c>
    </row>
    <row r="346" spans="25:26">
      <c r="Y346">
        <f t="shared" si="71"/>
        <v>72</v>
      </c>
      <c r="Z346">
        <f t="shared" si="72"/>
        <v>72</v>
      </c>
    </row>
    <row r="347" spans="25:26">
      <c r="Y347">
        <f t="shared" si="71"/>
        <v>73</v>
      </c>
      <c r="Z347">
        <f t="shared" si="72"/>
        <v>73</v>
      </c>
    </row>
    <row r="348" spans="25:26">
      <c r="Y348">
        <f t="shared" si="71"/>
        <v>74</v>
      </c>
      <c r="Z348">
        <f t="shared" si="72"/>
        <v>74</v>
      </c>
    </row>
    <row r="349" spans="25:26">
      <c r="Y349">
        <f t="shared" si="71"/>
        <v>75</v>
      </c>
      <c r="Z349">
        <f t="shared" si="72"/>
        <v>75</v>
      </c>
    </row>
    <row r="350" spans="25:26">
      <c r="Y350">
        <f t="shared" si="71"/>
        <v>76</v>
      </c>
      <c r="Z350">
        <f t="shared" si="72"/>
        <v>76</v>
      </c>
    </row>
    <row r="351" spans="25:26">
      <c r="Y351">
        <f t="shared" si="71"/>
        <v>77</v>
      </c>
      <c r="Z351">
        <f t="shared" si="72"/>
        <v>77</v>
      </c>
    </row>
    <row r="352" spans="25:26">
      <c r="Y352">
        <f t="shared" si="71"/>
        <v>78</v>
      </c>
      <c r="Z352">
        <f t="shared" si="72"/>
        <v>78</v>
      </c>
    </row>
    <row r="353" spans="25:26">
      <c r="Y353">
        <f t="shared" si="71"/>
        <v>79</v>
      </c>
      <c r="Z353">
        <f t="shared" si="72"/>
        <v>79</v>
      </c>
    </row>
    <row r="354" spans="25:26">
      <c r="Y354">
        <f t="shared" si="71"/>
        <v>80</v>
      </c>
      <c r="Z354">
        <f t="shared" si="72"/>
        <v>80</v>
      </c>
    </row>
    <row r="355" spans="25:26">
      <c r="Y355">
        <f t="shared" si="71"/>
        <v>81</v>
      </c>
      <c r="Z355">
        <f t="shared" si="72"/>
        <v>81</v>
      </c>
    </row>
    <row r="356" spans="25:26">
      <c r="Y356">
        <f t="shared" si="71"/>
        <v>82</v>
      </c>
      <c r="Z356">
        <f t="shared" si="72"/>
        <v>82</v>
      </c>
    </row>
    <row r="357" spans="25:26">
      <c r="Y357">
        <f t="shared" si="71"/>
        <v>83</v>
      </c>
      <c r="Z357">
        <f t="shared" si="72"/>
        <v>83</v>
      </c>
    </row>
    <row r="358" spans="25:26">
      <c r="Y358">
        <f t="shared" si="71"/>
        <v>84</v>
      </c>
      <c r="Z358">
        <f t="shared" si="72"/>
        <v>84</v>
      </c>
    </row>
    <row r="359" spans="25:26">
      <c r="Y359">
        <f t="shared" si="71"/>
        <v>85</v>
      </c>
      <c r="Z359">
        <f t="shared" si="72"/>
        <v>85</v>
      </c>
    </row>
    <row r="360" spans="25:26">
      <c r="Y360">
        <f t="shared" si="71"/>
        <v>86</v>
      </c>
      <c r="Z360">
        <f t="shared" si="72"/>
        <v>86</v>
      </c>
    </row>
    <row r="361" spans="25:26">
      <c r="Y361">
        <f t="shared" si="71"/>
        <v>87</v>
      </c>
      <c r="Z361">
        <f t="shared" si="72"/>
        <v>87</v>
      </c>
    </row>
    <row r="362" spans="25:26">
      <c r="Y362">
        <f t="shared" si="71"/>
        <v>88</v>
      </c>
      <c r="Z362">
        <f t="shared" si="72"/>
        <v>88</v>
      </c>
    </row>
    <row r="363" spans="25:26">
      <c r="Y363">
        <f t="shared" si="71"/>
        <v>89</v>
      </c>
      <c r="Z363">
        <f t="shared" si="72"/>
        <v>89</v>
      </c>
    </row>
    <row r="364" spans="25:26">
      <c r="Y364">
        <f t="shared" si="71"/>
        <v>90</v>
      </c>
      <c r="Z364">
        <f t="shared" si="72"/>
        <v>90</v>
      </c>
    </row>
    <row r="365" spans="25:26">
      <c r="Y365">
        <f t="shared" si="71"/>
        <v>91</v>
      </c>
      <c r="Z365">
        <f t="shared" si="72"/>
        <v>91</v>
      </c>
    </row>
    <row r="366" spans="25:26">
      <c r="Y366">
        <f t="shared" si="71"/>
        <v>92</v>
      </c>
      <c r="Z366">
        <f t="shared" si="72"/>
        <v>92</v>
      </c>
    </row>
    <row r="367" spans="25:26">
      <c r="Y367">
        <f t="shared" si="71"/>
        <v>93</v>
      </c>
      <c r="Z367">
        <f t="shared" si="72"/>
        <v>93</v>
      </c>
    </row>
    <row r="368" spans="25:26">
      <c r="Y368">
        <f t="shared" si="71"/>
        <v>94</v>
      </c>
      <c r="Z368">
        <f t="shared" si="72"/>
        <v>94</v>
      </c>
    </row>
    <row r="369" spans="25:26">
      <c r="Y369">
        <f t="shared" si="71"/>
        <v>95</v>
      </c>
      <c r="Z369">
        <f t="shared" si="72"/>
        <v>95</v>
      </c>
    </row>
    <row r="370" spans="25:26">
      <c r="Y370">
        <f t="shared" si="71"/>
        <v>96</v>
      </c>
      <c r="Z370">
        <f t="shared" si="72"/>
        <v>96</v>
      </c>
    </row>
    <row r="371" spans="25:26">
      <c r="Y371">
        <f t="shared" si="71"/>
        <v>97</v>
      </c>
      <c r="Z371">
        <f t="shared" si="72"/>
        <v>97</v>
      </c>
    </row>
    <row r="372" spans="25:26">
      <c r="Y372">
        <f t="shared" si="71"/>
        <v>98</v>
      </c>
      <c r="Z372">
        <f t="shared" si="72"/>
        <v>98</v>
      </c>
    </row>
    <row r="373" spans="25:26">
      <c r="Y373">
        <f t="shared" si="71"/>
        <v>99</v>
      </c>
      <c r="Z373">
        <f t="shared" si="72"/>
        <v>99</v>
      </c>
    </row>
    <row r="374" spans="25:26">
      <c r="Y374">
        <f t="shared" si="71"/>
        <v>100</v>
      </c>
      <c r="Z374">
        <f t="shared" si="72"/>
        <v>100</v>
      </c>
    </row>
    <row r="375" spans="25:26">
      <c r="Y375">
        <f t="shared" si="71"/>
        <v>101</v>
      </c>
      <c r="Z375">
        <f t="shared" si="72"/>
        <v>101</v>
      </c>
    </row>
    <row r="376" spans="25:26">
      <c r="Y376">
        <f t="shared" si="71"/>
        <v>102</v>
      </c>
      <c r="Z376">
        <f t="shared" si="72"/>
        <v>102</v>
      </c>
    </row>
    <row r="377" spans="25:26">
      <c r="Y377">
        <f t="shared" si="71"/>
        <v>103</v>
      </c>
      <c r="Z377">
        <f t="shared" si="72"/>
        <v>103</v>
      </c>
    </row>
    <row r="378" spans="25:26">
      <c r="Y378">
        <f t="shared" si="71"/>
        <v>104</v>
      </c>
      <c r="Z378">
        <f t="shared" si="72"/>
        <v>104</v>
      </c>
    </row>
    <row r="379" spans="25:26">
      <c r="Y379">
        <f t="shared" si="71"/>
        <v>105</v>
      </c>
      <c r="Z379">
        <f t="shared" si="72"/>
        <v>105</v>
      </c>
    </row>
    <row r="380" spans="25:26">
      <c r="Y380">
        <f t="shared" si="71"/>
        <v>106</v>
      </c>
      <c r="Z380">
        <f t="shared" si="72"/>
        <v>106</v>
      </c>
    </row>
    <row r="381" spans="25:26">
      <c r="Y381">
        <f t="shared" si="71"/>
        <v>107</v>
      </c>
      <c r="Z381">
        <f t="shared" si="72"/>
        <v>107</v>
      </c>
    </row>
    <row r="382" spans="25:26">
      <c r="Y382">
        <f t="shared" si="71"/>
        <v>108</v>
      </c>
      <c r="Z382">
        <f t="shared" si="72"/>
        <v>108</v>
      </c>
    </row>
    <row r="383" spans="25:26">
      <c r="Y383">
        <f t="shared" si="71"/>
        <v>109</v>
      </c>
      <c r="Z383">
        <f t="shared" si="72"/>
        <v>109</v>
      </c>
    </row>
    <row r="384" spans="25:26">
      <c r="Y384">
        <f t="shared" si="71"/>
        <v>110</v>
      </c>
      <c r="Z384">
        <f t="shared" si="72"/>
        <v>110</v>
      </c>
    </row>
    <row r="385" spans="25:26">
      <c r="Y385">
        <f t="shared" si="71"/>
        <v>111</v>
      </c>
      <c r="Z385">
        <f t="shared" si="72"/>
        <v>111</v>
      </c>
    </row>
    <row r="386" spans="25:26">
      <c r="Y386">
        <f t="shared" si="71"/>
        <v>112</v>
      </c>
      <c r="Z386">
        <f t="shared" si="72"/>
        <v>112</v>
      </c>
    </row>
    <row r="387" spans="25:26">
      <c r="Y387">
        <f t="shared" si="71"/>
        <v>113</v>
      </c>
      <c r="Z387">
        <f t="shared" si="72"/>
        <v>113</v>
      </c>
    </row>
    <row r="388" spans="25:26">
      <c r="Y388">
        <f t="shared" si="71"/>
        <v>114</v>
      </c>
      <c r="Z388">
        <f t="shared" si="72"/>
        <v>114</v>
      </c>
    </row>
    <row r="389" spans="25:26">
      <c r="Y389">
        <f t="shared" si="71"/>
        <v>115</v>
      </c>
      <c r="Z389">
        <f t="shared" si="72"/>
        <v>115</v>
      </c>
    </row>
    <row r="390" spans="25:26">
      <c r="Y390">
        <f t="shared" si="71"/>
        <v>116</v>
      </c>
      <c r="Z390">
        <f t="shared" si="72"/>
        <v>116</v>
      </c>
    </row>
    <row r="391" spans="25:26">
      <c r="Y391">
        <f t="shared" si="71"/>
        <v>117</v>
      </c>
      <c r="Z391">
        <f t="shared" si="72"/>
        <v>117</v>
      </c>
    </row>
    <row r="392" spans="25:26">
      <c r="Y392">
        <f t="shared" si="71"/>
        <v>118</v>
      </c>
      <c r="Z392">
        <f t="shared" si="72"/>
        <v>118</v>
      </c>
    </row>
    <row r="393" spans="25:26">
      <c r="Y393">
        <f t="shared" si="71"/>
        <v>119</v>
      </c>
      <c r="Z393">
        <f t="shared" si="72"/>
        <v>119</v>
      </c>
    </row>
    <row r="394" spans="25:26">
      <c r="Y394">
        <f t="shared" si="71"/>
        <v>120</v>
      </c>
      <c r="Z394">
        <f t="shared" si="72"/>
        <v>120</v>
      </c>
    </row>
    <row r="395" spans="25:26">
      <c r="Y395">
        <f t="shared" si="71"/>
        <v>121</v>
      </c>
      <c r="Z395">
        <f t="shared" si="72"/>
        <v>121</v>
      </c>
    </row>
    <row r="396" spans="25:26">
      <c r="Y396">
        <f t="shared" si="71"/>
        <v>122</v>
      </c>
      <c r="Z396">
        <f t="shared" si="72"/>
        <v>122</v>
      </c>
    </row>
    <row r="397" spans="25:26">
      <c r="Y397">
        <f t="shared" si="71"/>
        <v>123</v>
      </c>
      <c r="Z397">
        <f t="shared" si="72"/>
        <v>123</v>
      </c>
    </row>
    <row r="398" spans="25:26">
      <c r="Y398">
        <f t="shared" si="71"/>
        <v>124</v>
      </c>
      <c r="Z398">
        <f t="shared" si="72"/>
        <v>124</v>
      </c>
    </row>
    <row r="399" spans="25:26">
      <c r="Y399">
        <f t="shared" si="71"/>
        <v>125</v>
      </c>
      <c r="Z399">
        <f t="shared" si="72"/>
        <v>125</v>
      </c>
    </row>
    <row r="400" spans="25:26">
      <c r="Y400">
        <f t="shared" si="71"/>
        <v>126</v>
      </c>
      <c r="Z400">
        <f t="shared" si="72"/>
        <v>126</v>
      </c>
    </row>
    <row r="401" spans="25:26">
      <c r="Y401">
        <f t="shared" si="71"/>
        <v>127</v>
      </c>
      <c r="Z401">
        <f t="shared" si="72"/>
        <v>127</v>
      </c>
    </row>
    <row r="402" spans="25:26">
      <c r="Y402">
        <f t="shared" si="71"/>
        <v>128</v>
      </c>
      <c r="Z402">
        <f t="shared" si="72"/>
        <v>128</v>
      </c>
    </row>
    <row r="403" spans="25:26">
      <c r="Y403">
        <f t="shared" si="71"/>
        <v>129</v>
      </c>
      <c r="Z403">
        <f t="shared" si="72"/>
        <v>129</v>
      </c>
    </row>
    <row r="404" spans="25:26">
      <c r="Y404">
        <f t="shared" si="71"/>
        <v>130</v>
      </c>
      <c r="Z404">
        <f t="shared" si="72"/>
        <v>130</v>
      </c>
    </row>
    <row r="405" spans="25:26">
      <c r="Y405">
        <f t="shared" si="71"/>
        <v>131</v>
      </c>
      <c r="Z405">
        <f t="shared" si="72"/>
        <v>131</v>
      </c>
    </row>
    <row r="406" spans="25:26">
      <c r="Y406">
        <f t="shared" si="71"/>
        <v>132</v>
      </c>
      <c r="Z406">
        <f t="shared" si="72"/>
        <v>132</v>
      </c>
    </row>
    <row r="407" spans="25:26">
      <c r="Y407">
        <f t="shared" si="71"/>
        <v>133</v>
      </c>
      <c r="Z407">
        <f t="shared" si="72"/>
        <v>133</v>
      </c>
    </row>
    <row r="408" spans="25:26">
      <c r="Y408">
        <f t="shared" si="71"/>
        <v>134</v>
      </c>
      <c r="Z408">
        <f t="shared" si="72"/>
        <v>134</v>
      </c>
    </row>
    <row r="409" spans="25:26">
      <c r="Y409">
        <f t="shared" ref="Y409:Y472" si="73">Y408+1</f>
        <v>135</v>
      </c>
      <c r="Z409">
        <f t="shared" ref="Z409:Z472" si="74">Z408+1</f>
        <v>135</v>
      </c>
    </row>
    <row r="410" spans="25:26">
      <c r="Y410">
        <f t="shared" si="73"/>
        <v>136</v>
      </c>
      <c r="Z410">
        <f t="shared" si="74"/>
        <v>136</v>
      </c>
    </row>
    <row r="411" spans="25:26">
      <c r="Y411">
        <f t="shared" si="73"/>
        <v>137</v>
      </c>
      <c r="Z411">
        <f t="shared" si="74"/>
        <v>137</v>
      </c>
    </row>
    <row r="412" spans="25:26">
      <c r="Y412">
        <f t="shared" si="73"/>
        <v>138</v>
      </c>
      <c r="Z412">
        <f t="shared" si="74"/>
        <v>138</v>
      </c>
    </row>
    <row r="413" spans="25:26">
      <c r="Y413">
        <f t="shared" si="73"/>
        <v>139</v>
      </c>
      <c r="Z413">
        <f t="shared" si="74"/>
        <v>139</v>
      </c>
    </row>
    <row r="414" spans="25:26">
      <c r="Y414">
        <f t="shared" si="73"/>
        <v>140</v>
      </c>
      <c r="Z414">
        <f t="shared" si="74"/>
        <v>140</v>
      </c>
    </row>
    <row r="415" spans="25:26">
      <c r="Y415">
        <f t="shared" si="73"/>
        <v>141</v>
      </c>
      <c r="Z415">
        <f t="shared" si="74"/>
        <v>141</v>
      </c>
    </row>
    <row r="416" spans="25:26">
      <c r="Y416">
        <f t="shared" si="73"/>
        <v>142</v>
      </c>
      <c r="Z416">
        <f t="shared" si="74"/>
        <v>142</v>
      </c>
    </row>
    <row r="417" spans="25:26">
      <c r="Y417">
        <f t="shared" si="73"/>
        <v>143</v>
      </c>
      <c r="Z417">
        <f t="shared" si="74"/>
        <v>143</v>
      </c>
    </row>
    <row r="418" spans="25:26">
      <c r="Y418">
        <f t="shared" si="73"/>
        <v>144</v>
      </c>
      <c r="Z418">
        <f t="shared" si="74"/>
        <v>144</v>
      </c>
    </row>
    <row r="419" spans="25:26">
      <c r="Y419">
        <f t="shared" si="73"/>
        <v>145</v>
      </c>
      <c r="Z419">
        <f t="shared" si="74"/>
        <v>145</v>
      </c>
    </row>
    <row r="420" spans="25:26">
      <c r="Y420">
        <f t="shared" si="73"/>
        <v>146</v>
      </c>
      <c r="Z420">
        <f t="shared" si="74"/>
        <v>146</v>
      </c>
    </row>
    <row r="421" spans="25:26">
      <c r="Y421">
        <f t="shared" si="73"/>
        <v>147</v>
      </c>
      <c r="Z421">
        <f t="shared" si="74"/>
        <v>147</v>
      </c>
    </row>
    <row r="422" spans="25:26">
      <c r="Y422">
        <f t="shared" si="73"/>
        <v>148</v>
      </c>
      <c r="Z422">
        <f t="shared" si="74"/>
        <v>148</v>
      </c>
    </row>
    <row r="423" spans="25:26">
      <c r="Y423">
        <f t="shared" si="73"/>
        <v>149</v>
      </c>
      <c r="Z423">
        <f t="shared" si="74"/>
        <v>149</v>
      </c>
    </row>
    <row r="424" spans="25:26">
      <c r="Y424">
        <f t="shared" si="73"/>
        <v>150</v>
      </c>
      <c r="Z424">
        <f t="shared" si="74"/>
        <v>150</v>
      </c>
    </row>
    <row r="425" spans="25:26">
      <c r="Y425">
        <f t="shared" si="73"/>
        <v>151</v>
      </c>
      <c r="Z425">
        <f t="shared" si="74"/>
        <v>151</v>
      </c>
    </row>
    <row r="426" spans="25:26">
      <c r="Y426">
        <f t="shared" si="73"/>
        <v>152</v>
      </c>
      <c r="Z426">
        <f t="shared" si="74"/>
        <v>152</v>
      </c>
    </row>
    <row r="427" spans="25:26">
      <c r="Y427">
        <f t="shared" si="73"/>
        <v>153</v>
      </c>
      <c r="Z427">
        <f t="shared" si="74"/>
        <v>153</v>
      </c>
    </row>
    <row r="428" spans="25:26">
      <c r="Y428">
        <f t="shared" si="73"/>
        <v>154</v>
      </c>
      <c r="Z428">
        <f t="shared" si="74"/>
        <v>154</v>
      </c>
    </row>
    <row r="429" spans="25:26">
      <c r="Y429">
        <f t="shared" si="73"/>
        <v>155</v>
      </c>
      <c r="Z429">
        <f t="shared" si="74"/>
        <v>155</v>
      </c>
    </row>
    <row r="430" spans="25:26">
      <c r="Y430">
        <f t="shared" si="73"/>
        <v>156</v>
      </c>
      <c r="Z430">
        <f t="shared" si="74"/>
        <v>156</v>
      </c>
    </row>
    <row r="431" spans="25:26">
      <c r="Y431">
        <f t="shared" si="73"/>
        <v>157</v>
      </c>
      <c r="Z431">
        <f t="shared" si="74"/>
        <v>157</v>
      </c>
    </row>
    <row r="432" spans="25:26">
      <c r="Y432">
        <f t="shared" si="73"/>
        <v>158</v>
      </c>
      <c r="Z432">
        <f t="shared" si="74"/>
        <v>158</v>
      </c>
    </row>
    <row r="433" spans="25:26">
      <c r="Y433">
        <f t="shared" si="73"/>
        <v>159</v>
      </c>
      <c r="Z433">
        <f t="shared" si="74"/>
        <v>159</v>
      </c>
    </row>
    <row r="434" spans="25:26">
      <c r="Y434">
        <f t="shared" si="73"/>
        <v>160</v>
      </c>
      <c r="Z434">
        <f t="shared" si="74"/>
        <v>160</v>
      </c>
    </row>
    <row r="435" spans="25:26">
      <c r="Y435">
        <f t="shared" si="73"/>
        <v>161</v>
      </c>
      <c r="Z435">
        <f t="shared" si="74"/>
        <v>161</v>
      </c>
    </row>
    <row r="436" spans="25:26">
      <c r="Y436">
        <f t="shared" si="73"/>
        <v>162</v>
      </c>
      <c r="Z436">
        <f t="shared" si="74"/>
        <v>162</v>
      </c>
    </row>
    <row r="437" spans="25:26">
      <c r="Y437">
        <f t="shared" si="73"/>
        <v>163</v>
      </c>
      <c r="Z437">
        <f t="shared" si="74"/>
        <v>163</v>
      </c>
    </row>
    <row r="438" spans="25:26">
      <c r="Y438">
        <f t="shared" si="73"/>
        <v>164</v>
      </c>
      <c r="Z438">
        <f t="shared" si="74"/>
        <v>164</v>
      </c>
    </row>
    <row r="439" spans="25:26">
      <c r="Y439">
        <f t="shared" si="73"/>
        <v>165</v>
      </c>
      <c r="Z439">
        <f t="shared" si="74"/>
        <v>165</v>
      </c>
    </row>
    <row r="440" spans="25:26">
      <c r="Y440">
        <f t="shared" si="73"/>
        <v>166</v>
      </c>
      <c r="Z440">
        <f t="shared" si="74"/>
        <v>166</v>
      </c>
    </row>
    <row r="441" spans="25:26">
      <c r="Y441">
        <f t="shared" si="73"/>
        <v>167</v>
      </c>
      <c r="Z441">
        <f t="shared" si="74"/>
        <v>167</v>
      </c>
    </row>
    <row r="442" spans="25:26">
      <c r="Y442">
        <f t="shared" si="73"/>
        <v>168</v>
      </c>
      <c r="Z442">
        <f t="shared" si="74"/>
        <v>168</v>
      </c>
    </row>
    <row r="443" spans="25:26">
      <c r="Y443">
        <f t="shared" si="73"/>
        <v>169</v>
      </c>
      <c r="Z443">
        <f t="shared" si="74"/>
        <v>169</v>
      </c>
    </row>
    <row r="444" spans="25:26">
      <c r="Y444">
        <f t="shared" si="73"/>
        <v>170</v>
      </c>
      <c r="Z444">
        <f t="shared" si="74"/>
        <v>170</v>
      </c>
    </row>
    <row r="445" spans="25:26">
      <c r="Y445">
        <f t="shared" si="73"/>
        <v>171</v>
      </c>
      <c r="Z445">
        <f t="shared" si="74"/>
        <v>171</v>
      </c>
    </row>
    <row r="446" spans="25:26">
      <c r="Y446">
        <f t="shared" si="73"/>
        <v>172</v>
      </c>
      <c r="Z446">
        <f t="shared" si="74"/>
        <v>172</v>
      </c>
    </row>
    <row r="447" spans="25:26">
      <c r="Y447">
        <f t="shared" si="73"/>
        <v>173</v>
      </c>
      <c r="Z447">
        <f t="shared" si="74"/>
        <v>173</v>
      </c>
    </row>
    <row r="448" spans="25:26">
      <c r="Y448">
        <f t="shared" si="73"/>
        <v>174</v>
      </c>
      <c r="Z448">
        <f t="shared" si="74"/>
        <v>174</v>
      </c>
    </row>
    <row r="449" spans="25:26">
      <c r="Y449">
        <f t="shared" si="73"/>
        <v>175</v>
      </c>
      <c r="Z449">
        <f t="shared" si="74"/>
        <v>175</v>
      </c>
    </row>
    <row r="450" spans="25:26">
      <c r="Y450">
        <f t="shared" si="73"/>
        <v>176</v>
      </c>
      <c r="Z450">
        <f t="shared" si="74"/>
        <v>176</v>
      </c>
    </row>
    <row r="451" spans="25:26">
      <c r="Y451">
        <f t="shared" si="73"/>
        <v>177</v>
      </c>
      <c r="Z451">
        <f t="shared" si="74"/>
        <v>177</v>
      </c>
    </row>
    <row r="452" spans="25:26">
      <c r="Y452">
        <f t="shared" si="73"/>
        <v>178</v>
      </c>
      <c r="Z452">
        <f t="shared" si="74"/>
        <v>178</v>
      </c>
    </row>
    <row r="453" spans="25:26">
      <c r="Y453">
        <f t="shared" si="73"/>
        <v>179</v>
      </c>
      <c r="Z453">
        <f t="shared" si="74"/>
        <v>179</v>
      </c>
    </row>
    <row r="454" spans="25:26">
      <c r="Y454">
        <f t="shared" si="73"/>
        <v>180</v>
      </c>
      <c r="Z454">
        <f t="shared" si="74"/>
        <v>180</v>
      </c>
    </row>
    <row r="455" spans="25:26">
      <c r="Y455">
        <f t="shared" si="73"/>
        <v>181</v>
      </c>
      <c r="Z455">
        <f t="shared" si="74"/>
        <v>181</v>
      </c>
    </row>
    <row r="456" spans="25:26">
      <c r="Y456">
        <f t="shared" si="73"/>
        <v>182</v>
      </c>
      <c r="Z456">
        <f t="shared" si="74"/>
        <v>182</v>
      </c>
    </row>
    <row r="457" spans="25:26">
      <c r="Y457">
        <f t="shared" si="73"/>
        <v>183</v>
      </c>
      <c r="Z457">
        <f t="shared" si="74"/>
        <v>183</v>
      </c>
    </row>
    <row r="458" spans="25:26">
      <c r="Y458">
        <f t="shared" si="73"/>
        <v>184</v>
      </c>
      <c r="Z458">
        <f t="shared" si="74"/>
        <v>184</v>
      </c>
    </row>
    <row r="459" spans="25:26">
      <c r="Y459">
        <f t="shared" si="73"/>
        <v>185</v>
      </c>
      <c r="Z459">
        <f t="shared" si="74"/>
        <v>185</v>
      </c>
    </row>
    <row r="460" spans="25:26">
      <c r="Y460">
        <f t="shared" si="73"/>
        <v>186</v>
      </c>
      <c r="Z460">
        <f t="shared" si="74"/>
        <v>186</v>
      </c>
    </row>
    <row r="461" spans="25:26">
      <c r="Y461">
        <f t="shared" si="73"/>
        <v>187</v>
      </c>
      <c r="Z461">
        <f t="shared" si="74"/>
        <v>187</v>
      </c>
    </row>
    <row r="462" spans="25:26">
      <c r="Y462">
        <f t="shared" si="73"/>
        <v>188</v>
      </c>
      <c r="Z462">
        <f t="shared" si="74"/>
        <v>188</v>
      </c>
    </row>
    <row r="463" spans="25:26">
      <c r="Y463">
        <f t="shared" si="73"/>
        <v>189</v>
      </c>
      <c r="Z463">
        <f t="shared" si="74"/>
        <v>189</v>
      </c>
    </row>
    <row r="464" spans="25:26">
      <c r="Y464">
        <f t="shared" si="73"/>
        <v>190</v>
      </c>
      <c r="Z464">
        <f t="shared" si="74"/>
        <v>190</v>
      </c>
    </row>
    <row r="465" spans="25:26">
      <c r="Y465">
        <f t="shared" si="73"/>
        <v>191</v>
      </c>
      <c r="Z465">
        <f t="shared" si="74"/>
        <v>191</v>
      </c>
    </row>
    <row r="466" spans="25:26">
      <c r="Y466">
        <f t="shared" si="73"/>
        <v>192</v>
      </c>
      <c r="Z466">
        <f t="shared" si="74"/>
        <v>192</v>
      </c>
    </row>
    <row r="467" spans="25:26">
      <c r="Y467">
        <f t="shared" si="73"/>
        <v>193</v>
      </c>
      <c r="Z467">
        <f t="shared" si="74"/>
        <v>193</v>
      </c>
    </row>
    <row r="468" spans="25:26">
      <c r="Y468">
        <f t="shared" si="73"/>
        <v>194</v>
      </c>
      <c r="Z468">
        <f t="shared" si="74"/>
        <v>194</v>
      </c>
    </row>
    <row r="469" spans="25:26">
      <c r="Y469">
        <f t="shared" si="73"/>
        <v>195</v>
      </c>
      <c r="Z469">
        <f t="shared" si="74"/>
        <v>195</v>
      </c>
    </row>
    <row r="470" spans="25:26">
      <c r="Y470">
        <f t="shared" si="73"/>
        <v>196</v>
      </c>
      <c r="Z470">
        <f t="shared" si="74"/>
        <v>196</v>
      </c>
    </row>
    <row r="471" spans="25:26">
      <c r="Y471">
        <f t="shared" si="73"/>
        <v>197</v>
      </c>
      <c r="Z471">
        <f t="shared" si="74"/>
        <v>197</v>
      </c>
    </row>
    <row r="472" spans="25:26">
      <c r="Y472">
        <f t="shared" si="73"/>
        <v>198</v>
      </c>
      <c r="Z472">
        <f t="shared" si="74"/>
        <v>198</v>
      </c>
    </row>
    <row r="473" spans="25:26">
      <c r="Y473">
        <f t="shared" ref="Y473:Y536" si="75">Y472+1</f>
        <v>199</v>
      </c>
      <c r="Z473">
        <f t="shared" ref="Z473:Z536" si="76">Z472+1</f>
        <v>199</v>
      </c>
    </row>
    <row r="474" spans="25:26">
      <c r="Y474">
        <f t="shared" si="75"/>
        <v>200</v>
      </c>
      <c r="Z474">
        <f t="shared" si="76"/>
        <v>200</v>
      </c>
    </row>
    <row r="475" spans="25:26">
      <c r="Y475">
        <f t="shared" si="75"/>
        <v>201</v>
      </c>
      <c r="Z475">
        <f t="shared" si="76"/>
        <v>201</v>
      </c>
    </row>
    <row r="476" spans="25:26">
      <c r="Y476">
        <f t="shared" si="75"/>
        <v>202</v>
      </c>
      <c r="Z476">
        <f t="shared" si="76"/>
        <v>202</v>
      </c>
    </row>
    <row r="477" spans="25:26">
      <c r="Y477">
        <f t="shared" si="75"/>
        <v>203</v>
      </c>
      <c r="Z477">
        <f t="shared" si="76"/>
        <v>203</v>
      </c>
    </row>
    <row r="478" spans="25:26">
      <c r="Y478">
        <f t="shared" si="75"/>
        <v>204</v>
      </c>
      <c r="Z478">
        <f t="shared" si="76"/>
        <v>204</v>
      </c>
    </row>
    <row r="479" spans="25:26">
      <c r="Y479">
        <f t="shared" si="75"/>
        <v>205</v>
      </c>
      <c r="Z479">
        <f t="shared" si="76"/>
        <v>205</v>
      </c>
    </row>
    <row r="480" spans="25:26">
      <c r="Y480">
        <f t="shared" si="75"/>
        <v>206</v>
      </c>
      <c r="Z480">
        <f t="shared" si="76"/>
        <v>206</v>
      </c>
    </row>
    <row r="481" spans="25:26">
      <c r="Y481">
        <f t="shared" si="75"/>
        <v>207</v>
      </c>
      <c r="Z481">
        <f t="shared" si="76"/>
        <v>207</v>
      </c>
    </row>
    <row r="482" spans="25:26">
      <c r="Y482">
        <f t="shared" si="75"/>
        <v>208</v>
      </c>
      <c r="Z482">
        <f t="shared" si="76"/>
        <v>208</v>
      </c>
    </row>
    <row r="483" spans="25:26">
      <c r="Y483">
        <f t="shared" si="75"/>
        <v>209</v>
      </c>
      <c r="Z483">
        <f t="shared" si="76"/>
        <v>209</v>
      </c>
    </row>
    <row r="484" spans="25:26">
      <c r="Y484">
        <f t="shared" si="75"/>
        <v>210</v>
      </c>
      <c r="Z484">
        <f t="shared" si="76"/>
        <v>210</v>
      </c>
    </row>
    <row r="485" spans="25:26">
      <c r="Y485">
        <f t="shared" si="75"/>
        <v>211</v>
      </c>
      <c r="Z485">
        <f t="shared" si="76"/>
        <v>211</v>
      </c>
    </row>
    <row r="486" spans="25:26">
      <c r="Y486">
        <f t="shared" si="75"/>
        <v>212</v>
      </c>
      <c r="Z486">
        <f t="shared" si="76"/>
        <v>212</v>
      </c>
    </row>
    <row r="487" spans="25:26">
      <c r="Y487">
        <f t="shared" si="75"/>
        <v>213</v>
      </c>
      <c r="Z487">
        <f t="shared" si="76"/>
        <v>213</v>
      </c>
    </row>
    <row r="488" spans="25:26">
      <c r="Y488">
        <f t="shared" si="75"/>
        <v>214</v>
      </c>
      <c r="Z488">
        <f t="shared" si="76"/>
        <v>214</v>
      </c>
    </row>
    <row r="489" spans="25:26">
      <c r="Y489">
        <f t="shared" si="75"/>
        <v>215</v>
      </c>
      <c r="Z489">
        <f t="shared" si="76"/>
        <v>215</v>
      </c>
    </row>
    <row r="490" spans="25:26">
      <c r="Y490">
        <f t="shared" si="75"/>
        <v>216</v>
      </c>
      <c r="Z490">
        <f t="shared" si="76"/>
        <v>216</v>
      </c>
    </row>
    <row r="491" spans="25:26">
      <c r="Y491">
        <f t="shared" si="75"/>
        <v>217</v>
      </c>
      <c r="Z491">
        <f t="shared" si="76"/>
        <v>217</v>
      </c>
    </row>
    <row r="492" spans="25:26">
      <c r="Y492">
        <f t="shared" si="75"/>
        <v>218</v>
      </c>
      <c r="Z492">
        <f t="shared" si="76"/>
        <v>218</v>
      </c>
    </row>
    <row r="493" spans="25:26">
      <c r="Y493">
        <f t="shared" si="75"/>
        <v>219</v>
      </c>
      <c r="Z493">
        <f t="shared" si="76"/>
        <v>219</v>
      </c>
    </row>
    <row r="494" spans="25:26">
      <c r="Y494">
        <f t="shared" si="75"/>
        <v>220</v>
      </c>
      <c r="Z494">
        <f t="shared" si="76"/>
        <v>220</v>
      </c>
    </row>
    <row r="495" spans="25:26">
      <c r="Y495">
        <f t="shared" si="75"/>
        <v>221</v>
      </c>
      <c r="Z495">
        <f t="shared" si="76"/>
        <v>221</v>
      </c>
    </row>
    <row r="496" spans="25:26">
      <c r="Y496">
        <f t="shared" si="75"/>
        <v>222</v>
      </c>
      <c r="Z496">
        <f t="shared" si="76"/>
        <v>222</v>
      </c>
    </row>
    <row r="497" spans="25:26">
      <c r="Y497">
        <f t="shared" si="75"/>
        <v>223</v>
      </c>
      <c r="Z497">
        <f t="shared" si="76"/>
        <v>223</v>
      </c>
    </row>
    <row r="498" spans="25:26">
      <c r="Y498">
        <f t="shared" si="75"/>
        <v>224</v>
      </c>
      <c r="Z498">
        <f t="shared" si="76"/>
        <v>224</v>
      </c>
    </row>
    <row r="499" spans="25:26">
      <c r="Y499">
        <f t="shared" si="75"/>
        <v>225</v>
      </c>
      <c r="Z499">
        <f t="shared" si="76"/>
        <v>225</v>
      </c>
    </row>
    <row r="500" spans="25:26">
      <c r="Y500">
        <f t="shared" si="75"/>
        <v>226</v>
      </c>
      <c r="Z500">
        <f t="shared" si="76"/>
        <v>226</v>
      </c>
    </row>
    <row r="501" spans="25:26">
      <c r="Y501">
        <f t="shared" si="75"/>
        <v>227</v>
      </c>
      <c r="Z501">
        <f t="shared" si="76"/>
        <v>227</v>
      </c>
    </row>
    <row r="502" spans="25:26">
      <c r="Y502">
        <f t="shared" si="75"/>
        <v>228</v>
      </c>
      <c r="Z502">
        <f t="shared" si="76"/>
        <v>228</v>
      </c>
    </row>
    <row r="503" spans="25:26">
      <c r="Y503">
        <f t="shared" si="75"/>
        <v>229</v>
      </c>
      <c r="Z503">
        <f t="shared" si="76"/>
        <v>229</v>
      </c>
    </row>
    <row r="504" spans="25:26">
      <c r="Y504">
        <f t="shared" si="75"/>
        <v>230</v>
      </c>
      <c r="Z504">
        <f t="shared" si="76"/>
        <v>230</v>
      </c>
    </row>
    <row r="505" spans="25:26">
      <c r="Y505">
        <f t="shared" si="75"/>
        <v>231</v>
      </c>
      <c r="Z505">
        <f t="shared" si="76"/>
        <v>231</v>
      </c>
    </row>
    <row r="506" spans="25:26">
      <c r="Y506">
        <f t="shared" si="75"/>
        <v>232</v>
      </c>
      <c r="Z506">
        <f t="shared" si="76"/>
        <v>232</v>
      </c>
    </row>
    <row r="507" spans="25:26">
      <c r="Y507">
        <f t="shared" si="75"/>
        <v>233</v>
      </c>
      <c r="Z507">
        <f t="shared" si="76"/>
        <v>233</v>
      </c>
    </row>
    <row r="508" spans="25:26">
      <c r="Y508">
        <f t="shared" si="75"/>
        <v>234</v>
      </c>
      <c r="Z508">
        <f t="shared" si="76"/>
        <v>234</v>
      </c>
    </row>
    <row r="509" spans="25:26">
      <c r="Y509">
        <f t="shared" si="75"/>
        <v>235</v>
      </c>
      <c r="Z509">
        <f t="shared" si="76"/>
        <v>235</v>
      </c>
    </row>
    <row r="510" spans="25:26">
      <c r="Y510">
        <f t="shared" si="75"/>
        <v>236</v>
      </c>
      <c r="Z510">
        <f t="shared" si="76"/>
        <v>236</v>
      </c>
    </row>
    <row r="511" spans="25:26">
      <c r="Y511">
        <f t="shared" si="75"/>
        <v>237</v>
      </c>
      <c r="Z511">
        <f t="shared" si="76"/>
        <v>237</v>
      </c>
    </row>
    <row r="512" spans="25:26">
      <c r="Y512">
        <f t="shared" si="75"/>
        <v>238</v>
      </c>
      <c r="Z512">
        <f t="shared" si="76"/>
        <v>238</v>
      </c>
    </row>
    <row r="513" spans="25:26">
      <c r="Y513">
        <f t="shared" si="75"/>
        <v>239</v>
      </c>
      <c r="Z513">
        <f t="shared" si="76"/>
        <v>239</v>
      </c>
    </row>
    <row r="514" spans="25:26">
      <c r="Y514">
        <f t="shared" si="75"/>
        <v>240</v>
      </c>
      <c r="Z514">
        <f t="shared" si="76"/>
        <v>240</v>
      </c>
    </row>
    <row r="515" spans="25:26">
      <c r="Y515">
        <f t="shared" si="75"/>
        <v>241</v>
      </c>
      <c r="Z515">
        <f t="shared" si="76"/>
        <v>241</v>
      </c>
    </row>
    <row r="516" spans="25:26">
      <c r="Y516">
        <f t="shared" si="75"/>
        <v>242</v>
      </c>
      <c r="Z516">
        <f t="shared" si="76"/>
        <v>242</v>
      </c>
    </row>
    <row r="517" spans="25:26">
      <c r="Y517">
        <f t="shared" si="75"/>
        <v>243</v>
      </c>
      <c r="Z517">
        <f t="shared" si="76"/>
        <v>243</v>
      </c>
    </row>
    <row r="518" spans="25:26">
      <c r="Y518">
        <f t="shared" si="75"/>
        <v>244</v>
      </c>
      <c r="Z518">
        <f t="shared" si="76"/>
        <v>244</v>
      </c>
    </row>
    <row r="519" spans="25:26">
      <c r="Y519">
        <f t="shared" si="75"/>
        <v>245</v>
      </c>
      <c r="Z519">
        <f t="shared" si="76"/>
        <v>245</v>
      </c>
    </row>
    <row r="520" spans="25:26">
      <c r="Y520">
        <f t="shared" si="75"/>
        <v>246</v>
      </c>
      <c r="Z520">
        <f t="shared" si="76"/>
        <v>246</v>
      </c>
    </row>
    <row r="521" spans="25:26">
      <c r="Y521">
        <f t="shared" si="75"/>
        <v>247</v>
      </c>
      <c r="Z521">
        <f t="shared" si="76"/>
        <v>247</v>
      </c>
    </row>
    <row r="522" spans="25:26">
      <c r="Y522">
        <f t="shared" si="75"/>
        <v>248</v>
      </c>
      <c r="Z522">
        <f t="shared" si="76"/>
        <v>248</v>
      </c>
    </row>
    <row r="523" spans="25:26">
      <c r="Y523">
        <f t="shared" si="75"/>
        <v>249</v>
      </c>
      <c r="Z523">
        <f t="shared" si="76"/>
        <v>249</v>
      </c>
    </row>
    <row r="524" spans="25:26">
      <c r="Y524">
        <f t="shared" si="75"/>
        <v>250</v>
      </c>
      <c r="Z524">
        <f t="shared" si="76"/>
        <v>250</v>
      </c>
    </row>
    <row r="525" spans="25:26">
      <c r="Y525">
        <f t="shared" si="75"/>
        <v>251</v>
      </c>
      <c r="Z525">
        <f t="shared" si="76"/>
        <v>251</v>
      </c>
    </row>
    <row r="526" spans="25:26">
      <c r="Y526">
        <f t="shared" si="75"/>
        <v>252</v>
      </c>
      <c r="Z526">
        <f t="shared" si="76"/>
        <v>252</v>
      </c>
    </row>
    <row r="527" spans="25:26">
      <c r="Y527">
        <f t="shared" si="75"/>
        <v>253</v>
      </c>
      <c r="Z527">
        <f t="shared" si="76"/>
        <v>253</v>
      </c>
    </row>
    <row r="528" spans="25:26">
      <c r="Y528">
        <f t="shared" si="75"/>
        <v>254</v>
      </c>
      <c r="Z528">
        <f t="shared" si="76"/>
        <v>254</v>
      </c>
    </row>
    <row r="529" spans="25:26">
      <c r="Y529">
        <f t="shared" si="75"/>
        <v>255</v>
      </c>
      <c r="Z529">
        <f t="shared" si="76"/>
        <v>255</v>
      </c>
    </row>
    <row r="530" spans="25:26">
      <c r="Y530">
        <f t="shared" si="75"/>
        <v>256</v>
      </c>
      <c r="Z530">
        <f t="shared" si="76"/>
        <v>256</v>
      </c>
    </row>
    <row r="531" spans="25:26">
      <c r="Y531">
        <f t="shared" si="75"/>
        <v>257</v>
      </c>
      <c r="Z531">
        <f t="shared" si="76"/>
        <v>257</v>
      </c>
    </row>
    <row r="532" spans="25:26">
      <c r="Y532">
        <f t="shared" si="75"/>
        <v>258</v>
      </c>
      <c r="Z532">
        <f t="shared" si="76"/>
        <v>258</v>
      </c>
    </row>
    <row r="533" spans="25:26">
      <c r="Y533">
        <f t="shared" si="75"/>
        <v>259</v>
      </c>
      <c r="Z533">
        <f t="shared" si="76"/>
        <v>259</v>
      </c>
    </row>
    <row r="534" spans="25:26">
      <c r="Y534">
        <f t="shared" si="75"/>
        <v>260</v>
      </c>
      <c r="Z534">
        <f t="shared" si="76"/>
        <v>260</v>
      </c>
    </row>
    <row r="535" spans="25:26">
      <c r="Y535">
        <f t="shared" si="75"/>
        <v>261</v>
      </c>
      <c r="Z535">
        <f t="shared" si="76"/>
        <v>261</v>
      </c>
    </row>
    <row r="536" spans="25:26">
      <c r="Y536">
        <f t="shared" si="75"/>
        <v>262</v>
      </c>
      <c r="Z536">
        <f t="shared" si="76"/>
        <v>262</v>
      </c>
    </row>
    <row r="537" spans="25:26">
      <c r="Y537">
        <f t="shared" ref="Y537:Y551" si="77">Y536+1</f>
        <v>263</v>
      </c>
      <c r="Z537">
        <f t="shared" ref="Z537:Z551" si="78">Z536+1</f>
        <v>263</v>
      </c>
    </row>
    <row r="538" spans="25:26">
      <c r="Y538">
        <f t="shared" si="77"/>
        <v>264</v>
      </c>
      <c r="Z538">
        <f t="shared" si="78"/>
        <v>264</v>
      </c>
    </row>
    <row r="539" spans="25:26">
      <c r="Y539">
        <f t="shared" si="77"/>
        <v>265</v>
      </c>
      <c r="Z539">
        <f t="shared" si="78"/>
        <v>265</v>
      </c>
    </row>
    <row r="540" spans="25:26">
      <c r="Y540">
        <f t="shared" si="77"/>
        <v>266</v>
      </c>
      <c r="Z540">
        <f t="shared" si="78"/>
        <v>266</v>
      </c>
    </row>
    <row r="541" spans="25:26">
      <c r="Y541">
        <f t="shared" si="77"/>
        <v>267</v>
      </c>
      <c r="Z541">
        <f t="shared" si="78"/>
        <v>267</v>
      </c>
    </row>
    <row r="542" spans="25:26">
      <c r="Y542">
        <f t="shared" si="77"/>
        <v>268</v>
      </c>
      <c r="Z542">
        <f t="shared" si="78"/>
        <v>268</v>
      </c>
    </row>
    <row r="543" spans="25:26">
      <c r="Y543">
        <f t="shared" si="77"/>
        <v>269</v>
      </c>
      <c r="Z543">
        <f t="shared" si="78"/>
        <v>269</v>
      </c>
    </row>
    <row r="544" spans="25:26">
      <c r="Y544">
        <f t="shared" si="77"/>
        <v>270</v>
      </c>
      <c r="Z544">
        <f t="shared" si="78"/>
        <v>270</v>
      </c>
    </row>
    <row r="545" spans="25:26">
      <c r="Y545">
        <f t="shared" si="77"/>
        <v>271</v>
      </c>
      <c r="Z545">
        <f t="shared" si="78"/>
        <v>271</v>
      </c>
    </row>
    <row r="546" spans="25:26">
      <c r="Y546">
        <f t="shared" si="77"/>
        <v>272</v>
      </c>
      <c r="Z546">
        <f t="shared" si="78"/>
        <v>272</v>
      </c>
    </row>
    <row r="547" spans="25:26">
      <c r="Y547">
        <f t="shared" si="77"/>
        <v>273</v>
      </c>
      <c r="Z547">
        <f t="shared" si="78"/>
        <v>273</v>
      </c>
    </row>
    <row r="548" spans="25:26">
      <c r="Y548">
        <f t="shared" si="77"/>
        <v>274</v>
      </c>
      <c r="Z548">
        <f t="shared" si="78"/>
        <v>274</v>
      </c>
    </row>
    <row r="549" spans="25:26">
      <c r="Y549">
        <f t="shared" si="77"/>
        <v>275</v>
      </c>
      <c r="Z549">
        <f t="shared" si="78"/>
        <v>275</v>
      </c>
    </row>
    <row r="550" spans="25:26">
      <c r="Y550">
        <f t="shared" si="77"/>
        <v>276</v>
      </c>
      <c r="Z550">
        <f t="shared" si="78"/>
        <v>276</v>
      </c>
    </row>
    <row r="551" spans="25:26">
      <c r="Y551">
        <f t="shared" si="77"/>
        <v>277</v>
      </c>
      <c r="Z551">
        <f t="shared" si="78"/>
        <v>277</v>
      </c>
    </row>
  </sheetData>
  <sheetProtection sheet="1" formatCells="0" insertHyperlinks="0"/>
  <mergeCells count="2">
    <mergeCell ref="C1:I1"/>
    <mergeCell ref="D2:F2"/>
  </mergeCells>
  <phoneticPr fontId="4" type="noConversion"/>
  <conditionalFormatting sqref="I278">
    <cfRule type="cellIs" dxfId="160" priority="3" stopIfTrue="1" operator="notEqual">
      <formula>""</formula>
    </cfRule>
  </conditionalFormatting>
  <conditionalFormatting sqref="I9:I26">
    <cfRule type="cellIs" dxfId="159" priority="4" stopIfTrue="1" operator="notEqual">
      <formula>""</formula>
    </cfRule>
  </conditionalFormatting>
  <conditionalFormatting sqref="I27:I277">
    <cfRule type="cellIs" dxfId="158" priority="1" stopIfTrue="1" operator="notEqual">
      <formula>""</formula>
    </cfRule>
  </conditionalFormatting>
  <pageMargins left="0.78740157480314965" right="0.78740157480314965" top="0.78740157480314965" bottom="0.87" header="0.51181102362204722" footer="0.51181102362204722"/>
  <pageSetup paperSize="9" orientation="portrait" r:id="rId1"/>
  <headerFooter alignWithMargins="0">
    <oddFooter>&amp;L&amp;8Ausdruck vom &amp;D, &amp;T&amp;C&amp;8vereinsbuchhaltung.ch&amp;R&amp;8Seite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T97"/>
  <sheetViews>
    <sheetView topLeftCell="C1" workbookViewId="0">
      <pane ySplit="3" topLeftCell="C4" activePane="bottomLeft" state="frozen"/>
      <selection pane="bottomLeft" activeCell="C4" sqref="C4"/>
      <selection activeCell="C1" sqref="C1"/>
    </sheetView>
  </sheetViews>
  <sheetFormatPr defaultColWidth="11.42578125" defaultRowHeight="12.75"/>
  <cols>
    <col min="1" max="2" width="0" hidden="1" customWidth="1"/>
    <col min="3" max="3" width="10.5703125" customWidth="1"/>
    <col min="4" max="4" width="32" customWidth="1"/>
    <col min="5" max="5" width="33.85546875" customWidth="1"/>
    <col min="6" max="6" width="64.28515625" customWidth="1"/>
    <col min="12" max="30" width="0" hidden="1" customWidth="1"/>
  </cols>
  <sheetData>
    <row r="1" spans="1:20" ht="138" customHeight="1">
      <c r="C1" s="249" t="s">
        <v>165</v>
      </c>
      <c r="D1" s="249"/>
      <c r="E1" s="247"/>
      <c r="F1" s="247"/>
      <c r="I1" s="205"/>
    </row>
    <row r="2" spans="1:20" ht="21.75" customHeight="1">
      <c r="C2" s="251" t="str">
        <f>IF(Calc!J2="","Bitte Vereins-/Firmennamen im Register Journal eingeben",CONCATENATE("Projektliste ",Journal!D1," (Verwendung fakultativ)"))</f>
        <v>Projektliste Hier STWEG-Namen eingeben (Verwendung fakultativ)</v>
      </c>
      <c r="D2" s="251"/>
      <c r="E2" s="252"/>
      <c r="T2" t="s">
        <v>69</v>
      </c>
    </row>
    <row r="3" spans="1:20" ht="31.5" customHeight="1">
      <c r="A3" s="4" t="s">
        <v>78</v>
      </c>
      <c r="B3" s="4" t="s">
        <v>79</v>
      </c>
      <c r="C3" s="92" t="s">
        <v>166</v>
      </c>
      <c r="D3" s="4" t="s">
        <v>167</v>
      </c>
      <c r="E3" s="4" t="s">
        <v>168</v>
      </c>
      <c r="F3" s="4" t="s">
        <v>84</v>
      </c>
    </row>
    <row r="4" spans="1:20">
      <c r="A4">
        <v>1</v>
      </c>
      <c r="B4">
        <v>1</v>
      </c>
      <c r="C4" s="207">
        <v>1</v>
      </c>
      <c r="D4" s="207" t="s">
        <v>169</v>
      </c>
      <c r="E4" s="207"/>
      <c r="F4" s="7"/>
      <c r="J4" s="153"/>
      <c r="N4">
        <f t="shared" ref="N4:N35" si="0">C4</f>
        <v>1</v>
      </c>
      <c r="T4">
        <f t="shared" ref="T4:T35" si="1">IF(C4="",T3+0.0001,C4)</f>
        <v>1</v>
      </c>
    </row>
    <row r="5" spans="1:20">
      <c r="A5">
        <v>2</v>
      </c>
      <c r="B5">
        <f>B4+2</f>
        <v>3</v>
      </c>
      <c r="C5" s="207">
        <v>2</v>
      </c>
      <c r="D5" s="207" t="s">
        <v>170</v>
      </c>
      <c r="E5" s="207"/>
      <c r="F5" s="120" t="str">
        <f>IF(C5="","",IF(C5&lt;C4,"Bitte Projektnummern in aufsteigender Reihenfolge eingeben",IF(AND(D5="",OR(C6&lt;&gt;"",C7&lt;&gt;"")),"Bitte Projektname ausfüllen","")))</f>
        <v/>
      </c>
      <c r="N5">
        <f t="shared" si="0"/>
        <v>2</v>
      </c>
      <c r="T5">
        <f t="shared" si="1"/>
        <v>2</v>
      </c>
    </row>
    <row r="6" spans="1:20" ht="12.75" customHeight="1">
      <c r="A6">
        <v>3</v>
      </c>
      <c r="B6">
        <f t="shared" ref="B6:B69" si="2">B5+2</f>
        <v>5</v>
      </c>
      <c r="C6" s="207">
        <v>3</v>
      </c>
      <c r="D6" s="207" t="s">
        <v>171</v>
      </c>
      <c r="E6" s="207"/>
      <c r="F6" s="120" t="str">
        <f>IF(C6="","",IF(OR(C6&lt;C5,C6&lt;C4),"Bitte Projektnummern in aufsteigender Reihenfolge eingeben",IF(AND(D6="",OR(C7&lt;&gt;"",C8&lt;&gt;"")),"Bitte Projektname ausfüllen","")))</f>
        <v/>
      </c>
      <c r="N6">
        <f t="shared" si="0"/>
        <v>3</v>
      </c>
      <c r="T6">
        <f t="shared" si="1"/>
        <v>3</v>
      </c>
    </row>
    <row r="7" spans="1:20">
      <c r="A7">
        <v>4</v>
      </c>
      <c r="B7">
        <f t="shared" si="2"/>
        <v>7</v>
      </c>
      <c r="C7" s="207">
        <v>4</v>
      </c>
      <c r="D7" s="207" t="s">
        <v>172</v>
      </c>
      <c r="E7" s="207"/>
      <c r="F7" s="120" t="str">
        <f t="shared" ref="F7:F70" si="3">IF(C7="","",IF(OR(C7&lt;C6,C7&lt;C5),"Bitte Projektnummern in aufsteigender Reihenfolge eingeben",IF(AND(D7="",OR(C8&lt;&gt;"",C9&lt;&gt;"")),"Bitte Projektname ausfüllen","")))</f>
        <v/>
      </c>
      <c r="N7">
        <f t="shared" si="0"/>
        <v>4</v>
      </c>
      <c r="T7">
        <f t="shared" si="1"/>
        <v>4</v>
      </c>
    </row>
    <row r="8" spans="1:20" ht="15" customHeight="1">
      <c r="A8">
        <v>5</v>
      </c>
      <c r="B8">
        <f t="shared" si="2"/>
        <v>9</v>
      </c>
      <c r="C8" s="207"/>
      <c r="D8" s="207"/>
      <c r="E8" s="207"/>
      <c r="F8" s="120" t="str">
        <f t="shared" si="3"/>
        <v/>
      </c>
      <c r="N8">
        <f t="shared" si="0"/>
        <v>0</v>
      </c>
      <c r="T8">
        <f t="shared" si="1"/>
        <v>4.0000999999999998</v>
      </c>
    </row>
    <row r="9" spans="1:20">
      <c r="A9">
        <v>6</v>
      </c>
      <c r="B9">
        <f t="shared" si="2"/>
        <v>11</v>
      </c>
      <c r="C9" s="207"/>
      <c r="D9" s="207"/>
      <c r="E9" s="207"/>
      <c r="F9" s="120" t="str">
        <f t="shared" si="3"/>
        <v/>
      </c>
      <c r="N9">
        <f t="shared" si="0"/>
        <v>0</v>
      </c>
      <c r="T9">
        <f t="shared" si="1"/>
        <v>4.0001999999999995</v>
      </c>
    </row>
    <row r="10" spans="1:20">
      <c r="A10">
        <v>7</v>
      </c>
      <c r="B10">
        <f t="shared" si="2"/>
        <v>13</v>
      </c>
      <c r="C10" s="207"/>
      <c r="D10" s="207"/>
      <c r="E10" s="207"/>
      <c r="F10" s="120" t="str">
        <f t="shared" si="3"/>
        <v/>
      </c>
      <c r="N10">
        <f t="shared" si="0"/>
        <v>0</v>
      </c>
      <c r="T10">
        <f t="shared" si="1"/>
        <v>4.0002999999999993</v>
      </c>
    </row>
    <row r="11" spans="1:20">
      <c r="A11">
        <v>8</v>
      </c>
      <c r="B11">
        <f t="shared" si="2"/>
        <v>15</v>
      </c>
      <c r="C11" s="207"/>
      <c r="D11" s="207"/>
      <c r="E11" s="207"/>
      <c r="F11" s="120" t="str">
        <f t="shared" si="3"/>
        <v/>
      </c>
      <c r="N11">
        <f t="shared" si="0"/>
        <v>0</v>
      </c>
      <c r="T11">
        <f t="shared" si="1"/>
        <v>4.0003999999999991</v>
      </c>
    </row>
    <row r="12" spans="1:20">
      <c r="A12">
        <v>9</v>
      </c>
      <c r="B12">
        <f t="shared" si="2"/>
        <v>17</v>
      </c>
      <c r="C12" s="207"/>
      <c r="D12" s="207"/>
      <c r="E12" s="207"/>
      <c r="F12" s="120" t="str">
        <f t="shared" si="3"/>
        <v/>
      </c>
      <c r="N12">
        <f t="shared" si="0"/>
        <v>0</v>
      </c>
      <c r="T12">
        <f t="shared" si="1"/>
        <v>4.0004999999999988</v>
      </c>
    </row>
    <row r="13" spans="1:20">
      <c r="A13">
        <v>10</v>
      </c>
      <c r="B13">
        <f t="shared" si="2"/>
        <v>19</v>
      </c>
      <c r="C13" s="207"/>
      <c r="D13" s="207"/>
      <c r="E13" s="207"/>
      <c r="F13" s="120" t="str">
        <f t="shared" si="3"/>
        <v/>
      </c>
      <c r="N13">
        <f t="shared" si="0"/>
        <v>0</v>
      </c>
      <c r="T13">
        <f t="shared" si="1"/>
        <v>4.0005999999999986</v>
      </c>
    </row>
    <row r="14" spans="1:20">
      <c r="A14">
        <v>11</v>
      </c>
      <c r="B14">
        <f t="shared" si="2"/>
        <v>21</v>
      </c>
      <c r="C14" s="207"/>
      <c r="D14" s="207"/>
      <c r="E14" s="207"/>
      <c r="F14" s="120" t="str">
        <f t="shared" si="3"/>
        <v/>
      </c>
      <c r="N14">
        <f t="shared" si="0"/>
        <v>0</v>
      </c>
      <c r="T14">
        <f t="shared" si="1"/>
        <v>4.0006999999999984</v>
      </c>
    </row>
    <row r="15" spans="1:20">
      <c r="A15">
        <v>12</v>
      </c>
      <c r="B15">
        <f t="shared" si="2"/>
        <v>23</v>
      </c>
      <c r="C15" s="207"/>
      <c r="D15" s="207"/>
      <c r="E15" s="207"/>
      <c r="F15" s="120" t="str">
        <f t="shared" si="3"/>
        <v/>
      </c>
      <c r="N15">
        <f t="shared" si="0"/>
        <v>0</v>
      </c>
      <c r="T15">
        <f t="shared" si="1"/>
        <v>4.0007999999999981</v>
      </c>
    </row>
    <row r="16" spans="1:20">
      <c r="A16">
        <v>13</v>
      </c>
      <c r="B16">
        <f t="shared" si="2"/>
        <v>25</v>
      </c>
      <c r="C16" s="207"/>
      <c r="D16" s="207"/>
      <c r="E16" s="207"/>
      <c r="F16" s="120" t="str">
        <f t="shared" si="3"/>
        <v/>
      </c>
      <c r="N16">
        <f t="shared" si="0"/>
        <v>0</v>
      </c>
      <c r="T16">
        <f t="shared" si="1"/>
        <v>4.0008999999999979</v>
      </c>
    </row>
    <row r="17" spans="1:20">
      <c r="A17">
        <v>14</v>
      </c>
      <c r="B17">
        <f t="shared" si="2"/>
        <v>27</v>
      </c>
      <c r="C17" s="207"/>
      <c r="D17" s="207"/>
      <c r="E17" s="207"/>
      <c r="F17" s="120" t="str">
        <f t="shared" si="3"/>
        <v/>
      </c>
      <c r="N17">
        <f t="shared" si="0"/>
        <v>0</v>
      </c>
      <c r="T17">
        <f t="shared" si="1"/>
        <v>4.0009999999999977</v>
      </c>
    </row>
    <row r="18" spans="1:20">
      <c r="A18">
        <v>15</v>
      </c>
      <c r="B18">
        <f t="shared" si="2"/>
        <v>29</v>
      </c>
      <c r="C18" s="207"/>
      <c r="D18" s="207"/>
      <c r="E18" s="207"/>
      <c r="F18" s="120" t="str">
        <f t="shared" si="3"/>
        <v/>
      </c>
      <c r="N18">
        <f t="shared" si="0"/>
        <v>0</v>
      </c>
      <c r="T18">
        <f t="shared" si="1"/>
        <v>4.0010999999999974</v>
      </c>
    </row>
    <row r="19" spans="1:20">
      <c r="A19">
        <v>16</v>
      </c>
      <c r="B19">
        <f t="shared" si="2"/>
        <v>31</v>
      </c>
      <c r="C19" s="207"/>
      <c r="D19" s="207"/>
      <c r="E19" s="207"/>
      <c r="F19" s="120" t="str">
        <f t="shared" si="3"/>
        <v/>
      </c>
      <c r="N19">
        <f t="shared" si="0"/>
        <v>0</v>
      </c>
      <c r="T19">
        <f t="shared" si="1"/>
        <v>4.0011999999999972</v>
      </c>
    </row>
    <row r="20" spans="1:20">
      <c r="A20">
        <v>17</v>
      </c>
      <c r="B20">
        <f t="shared" si="2"/>
        <v>33</v>
      </c>
      <c r="C20" s="207"/>
      <c r="D20" s="207"/>
      <c r="E20" s="207"/>
      <c r="F20" s="120" t="str">
        <f t="shared" si="3"/>
        <v/>
      </c>
      <c r="N20">
        <f t="shared" si="0"/>
        <v>0</v>
      </c>
      <c r="T20">
        <f t="shared" si="1"/>
        <v>4.001299999999997</v>
      </c>
    </row>
    <row r="21" spans="1:20">
      <c r="A21">
        <v>18</v>
      </c>
      <c r="B21">
        <f t="shared" si="2"/>
        <v>35</v>
      </c>
      <c r="C21" s="207"/>
      <c r="D21" s="207"/>
      <c r="E21" s="207"/>
      <c r="F21" s="120" t="str">
        <f t="shared" si="3"/>
        <v/>
      </c>
      <c r="N21">
        <f t="shared" si="0"/>
        <v>0</v>
      </c>
      <c r="T21">
        <f t="shared" si="1"/>
        <v>4.0013999999999967</v>
      </c>
    </row>
    <row r="22" spans="1:20">
      <c r="A22">
        <v>19</v>
      </c>
      <c r="B22">
        <f t="shared" si="2"/>
        <v>37</v>
      </c>
      <c r="C22" s="207"/>
      <c r="D22" s="207"/>
      <c r="E22" s="207"/>
      <c r="F22" s="120" t="str">
        <f t="shared" si="3"/>
        <v/>
      </c>
      <c r="N22">
        <f t="shared" si="0"/>
        <v>0</v>
      </c>
      <c r="T22">
        <f t="shared" si="1"/>
        <v>4.0014999999999965</v>
      </c>
    </row>
    <row r="23" spans="1:20">
      <c r="A23">
        <v>20</v>
      </c>
      <c r="B23">
        <f t="shared" si="2"/>
        <v>39</v>
      </c>
      <c r="C23" s="207"/>
      <c r="D23" s="207"/>
      <c r="E23" s="207"/>
      <c r="F23" s="120" t="str">
        <f t="shared" si="3"/>
        <v/>
      </c>
      <c r="N23">
        <f t="shared" si="0"/>
        <v>0</v>
      </c>
      <c r="T23">
        <f t="shared" si="1"/>
        <v>4.0015999999999963</v>
      </c>
    </row>
    <row r="24" spans="1:20">
      <c r="A24">
        <v>21</v>
      </c>
      <c r="B24">
        <f t="shared" si="2"/>
        <v>41</v>
      </c>
      <c r="C24" s="207"/>
      <c r="D24" s="207"/>
      <c r="E24" s="207"/>
      <c r="F24" s="120" t="str">
        <f t="shared" si="3"/>
        <v/>
      </c>
      <c r="N24">
        <f t="shared" si="0"/>
        <v>0</v>
      </c>
      <c r="T24">
        <f t="shared" si="1"/>
        <v>4.001699999999996</v>
      </c>
    </row>
    <row r="25" spans="1:20">
      <c r="A25">
        <v>22</v>
      </c>
      <c r="B25">
        <f t="shared" si="2"/>
        <v>43</v>
      </c>
      <c r="C25" s="207"/>
      <c r="D25" s="207"/>
      <c r="E25" s="207"/>
      <c r="F25" s="120" t="str">
        <f t="shared" si="3"/>
        <v/>
      </c>
      <c r="N25">
        <f t="shared" si="0"/>
        <v>0</v>
      </c>
      <c r="T25">
        <f t="shared" si="1"/>
        <v>4.0017999999999958</v>
      </c>
    </row>
    <row r="26" spans="1:20">
      <c r="A26">
        <v>23</v>
      </c>
      <c r="B26">
        <f t="shared" si="2"/>
        <v>45</v>
      </c>
      <c r="C26" s="207"/>
      <c r="D26" s="207"/>
      <c r="E26" s="207"/>
      <c r="F26" s="120" t="str">
        <f t="shared" si="3"/>
        <v/>
      </c>
      <c r="N26">
        <f t="shared" si="0"/>
        <v>0</v>
      </c>
      <c r="T26">
        <f t="shared" si="1"/>
        <v>4.0018999999999956</v>
      </c>
    </row>
    <row r="27" spans="1:20">
      <c r="A27">
        <v>24</v>
      </c>
      <c r="B27">
        <f t="shared" si="2"/>
        <v>47</v>
      </c>
      <c r="C27" s="207"/>
      <c r="D27" s="207"/>
      <c r="E27" s="207"/>
      <c r="F27" s="120" t="str">
        <f t="shared" si="3"/>
        <v/>
      </c>
      <c r="N27">
        <f t="shared" si="0"/>
        <v>0</v>
      </c>
      <c r="T27">
        <f t="shared" si="1"/>
        <v>4.0019999999999953</v>
      </c>
    </row>
    <row r="28" spans="1:20">
      <c r="A28">
        <v>25</v>
      </c>
      <c r="B28">
        <f t="shared" si="2"/>
        <v>49</v>
      </c>
      <c r="C28" s="207"/>
      <c r="D28" s="207"/>
      <c r="E28" s="207"/>
      <c r="F28" s="120" t="str">
        <f t="shared" si="3"/>
        <v/>
      </c>
      <c r="N28">
        <f t="shared" si="0"/>
        <v>0</v>
      </c>
      <c r="T28">
        <f t="shared" si="1"/>
        <v>4.0020999999999951</v>
      </c>
    </row>
    <row r="29" spans="1:20">
      <c r="A29">
        <v>26</v>
      </c>
      <c r="B29">
        <f t="shared" si="2"/>
        <v>51</v>
      </c>
      <c r="C29" s="207"/>
      <c r="D29" s="207"/>
      <c r="E29" s="207"/>
      <c r="F29" s="120" t="str">
        <f t="shared" si="3"/>
        <v/>
      </c>
      <c r="N29">
        <f t="shared" si="0"/>
        <v>0</v>
      </c>
      <c r="T29">
        <f t="shared" si="1"/>
        <v>4.0021999999999949</v>
      </c>
    </row>
    <row r="30" spans="1:20">
      <c r="A30">
        <v>27</v>
      </c>
      <c r="B30">
        <f t="shared" si="2"/>
        <v>53</v>
      </c>
      <c r="C30" s="207"/>
      <c r="D30" s="207"/>
      <c r="E30" s="207"/>
      <c r="F30" s="120" t="str">
        <f t="shared" si="3"/>
        <v/>
      </c>
      <c r="N30">
        <f t="shared" si="0"/>
        <v>0</v>
      </c>
      <c r="T30">
        <f t="shared" si="1"/>
        <v>4.0022999999999946</v>
      </c>
    </row>
    <row r="31" spans="1:20">
      <c r="A31">
        <v>28</v>
      </c>
      <c r="B31">
        <f t="shared" si="2"/>
        <v>55</v>
      </c>
      <c r="C31" s="207"/>
      <c r="D31" s="207"/>
      <c r="E31" s="207"/>
      <c r="F31" s="120" t="str">
        <f t="shared" si="3"/>
        <v/>
      </c>
      <c r="N31">
        <f t="shared" si="0"/>
        <v>0</v>
      </c>
      <c r="T31">
        <f t="shared" si="1"/>
        <v>4.0023999999999944</v>
      </c>
    </row>
    <row r="32" spans="1:20">
      <c r="A32">
        <v>29</v>
      </c>
      <c r="B32">
        <f t="shared" si="2"/>
        <v>57</v>
      </c>
      <c r="C32" s="207"/>
      <c r="D32" s="207"/>
      <c r="E32" s="207"/>
      <c r="F32" s="120" t="str">
        <f t="shared" si="3"/>
        <v/>
      </c>
      <c r="N32">
        <f t="shared" si="0"/>
        <v>0</v>
      </c>
      <c r="T32">
        <f t="shared" si="1"/>
        <v>4.0024999999999942</v>
      </c>
    </row>
    <row r="33" spans="1:20">
      <c r="A33">
        <v>30</v>
      </c>
      <c r="B33">
        <f t="shared" si="2"/>
        <v>59</v>
      </c>
      <c r="C33" s="207"/>
      <c r="D33" s="207"/>
      <c r="E33" s="207"/>
      <c r="F33" s="120" t="str">
        <f t="shared" si="3"/>
        <v/>
      </c>
      <c r="N33">
        <f t="shared" si="0"/>
        <v>0</v>
      </c>
      <c r="T33">
        <f t="shared" si="1"/>
        <v>4.0025999999999939</v>
      </c>
    </row>
    <row r="34" spans="1:20">
      <c r="A34">
        <v>31</v>
      </c>
      <c r="B34">
        <f t="shared" si="2"/>
        <v>61</v>
      </c>
      <c r="C34" s="207"/>
      <c r="D34" s="207"/>
      <c r="E34" s="207"/>
      <c r="F34" s="120" t="str">
        <f t="shared" si="3"/>
        <v/>
      </c>
      <c r="N34">
        <f t="shared" si="0"/>
        <v>0</v>
      </c>
      <c r="T34">
        <f t="shared" si="1"/>
        <v>4.0026999999999937</v>
      </c>
    </row>
    <row r="35" spans="1:20">
      <c r="A35">
        <v>32</v>
      </c>
      <c r="B35">
        <f t="shared" si="2"/>
        <v>63</v>
      </c>
      <c r="C35" s="207"/>
      <c r="D35" s="207"/>
      <c r="E35" s="207"/>
      <c r="F35" s="120" t="str">
        <f t="shared" si="3"/>
        <v/>
      </c>
      <c r="N35">
        <f t="shared" si="0"/>
        <v>0</v>
      </c>
      <c r="T35">
        <f t="shared" si="1"/>
        <v>4.0027999999999935</v>
      </c>
    </row>
    <row r="36" spans="1:20">
      <c r="A36">
        <v>33</v>
      </c>
      <c r="B36">
        <f t="shared" si="2"/>
        <v>65</v>
      </c>
      <c r="C36" s="207"/>
      <c r="D36" s="207"/>
      <c r="E36" s="207"/>
      <c r="F36" s="120" t="str">
        <f t="shared" si="3"/>
        <v/>
      </c>
      <c r="N36">
        <f t="shared" ref="N36:N67" si="4">C36</f>
        <v>0</v>
      </c>
      <c r="T36">
        <f t="shared" ref="T36:T67" si="5">IF(C36="",T35+0.0001,C36)</f>
        <v>4.0028999999999932</v>
      </c>
    </row>
    <row r="37" spans="1:20">
      <c r="A37">
        <v>34</v>
      </c>
      <c r="B37">
        <f t="shared" si="2"/>
        <v>67</v>
      </c>
      <c r="C37" s="207"/>
      <c r="D37" s="207"/>
      <c r="E37" s="207"/>
      <c r="F37" s="120" t="str">
        <f t="shared" si="3"/>
        <v/>
      </c>
      <c r="N37">
        <f t="shared" si="4"/>
        <v>0</v>
      </c>
      <c r="T37">
        <f t="shared" si="5"/>
        <v>4.002999999999993</v>
      </c>
    </row>
    <row r="38" spans="1:20">
      <c r="A38">
        <v>35</v>
      </c>
      <c r="B38">
        <f t="shared" si="2"/>
        <v>69</v>
      </c>
      <c r="C38" s="207"/>
      <c r="D38" s="207"/>
      <c r="E38" s="207"/>
      <c r="F38" s="120" t="str">
        <f t="shared" si="3"/>
        <v/>
      </c>
      <c r="N38">
        <f t="shared" si="4"/>
        <v>0</v>
      </c>
      <c r="T38">
        <f t="shared" si="5"/>
        <v>4.0030999999999928</v>
      </c>
    </row>
    <row r="39" spans="1:20">
      <c r="A39">
        <v>36</v>
      </c>
      <c r="B39">
        <f t="shared" si="2"/>
        <v>71</v>
      </c>
      <c r="C39" s="207"/>
      <c r="D39" s="207"/>
      <c r="E39" s="207"/>
      <c r="F39" s="120" t="str">
        <f t="shared" si="3"/>
        <v/>
      </c>
      <c r="N39">
        <f t="shared" si="4"/>
        <v>0</v>
      </c>
      <c r="T39">
        <f t="shared" si="5"/>
        <v>4.0031999999999925</v>
      </c>
    </row>
    <row r="40" spans="1:20">
      <c r="A40">
        <v>37</v>
      </c>
      <c r="B40">
        <f t="shared" si="2"/>
        <v>73</v>
      </c>
      <c r="C40" s="207"/>
      <c r="D40" s="207"/>
      <c r="E40" s="207"/>
      <c r="F40" s="120" t="str">
        <f t="shared" si="3"/>
        <v/>
      </c>
      <c r="N40">
        <f t="shared" si="4"/>
        <v>0</v>
      </c>
      <c r="T40">
        <f t="shared" si="5"/>
        <v>4.0032999999999923</v>
      </c>
    </row>
    <row r="41" spans="1:20">
      <c r="A41">
        <v>38</v>
      </c>
      <c r="B41">
        <f t="shared" si="2"/>
        <v>75</v>
      </c>
      <c r="C41" s="207"/>
      <c r="D41" s="207"/>
      <c r="E41" s="207"/>
      <c r="F41" s="120" t="str">
        <f t="shared" si="3"/>
        <v/>
      </c>
      <c r="N41">
        <f t="shared" si="4"/>
        <v>0</v>
      </c>
      <c r="T41">
        <f t="shared" si="5"/>
        <v>4.0033999999999921</v>
      </c>
    </row>
    <row r="42" spans="1:20">
      <c r="A42">
        <v>39</v>
      </c>
      <c r="B42">
        <f t="shared" si="2"/>
        <v>77</v>
      </c>
      <c r="C42" s="207"/>
      <c r="D42" s="207"/>
      <c r="E42" s="207"/>
      <c r="F42" s="120" t="str">
        <f t="shared" si="3"/>
        <v/>
      </c>
      <c r="N42">
        <f t="shared" si="4"/>
        <v>0</v>
      </c>
      <c r="T42">
        <f t="shared" si="5"/>
        <v>4.0034999999999918</v>
      </c>
    </row>
    <row r="43" spans="1:20">
      <c r="A43">
        <v>40</v>
      </c>
      <c r="B43">
        <f t="shared" si="2"/>
        <v>79</v>
      </c>
      <c r="C43" s="207"/>
      <c r="D43" s="207"/>
      <c r="E43" s="207"/>
      <c r="F43" s="120" t="str">
        <f t="shared" si="3"/>
        <v/>
      </c>
      <c r="N43">
        <f t="shared" si="4"/>
        <v>0</v>
      </c>
      <c r="T43">
        <f t="shared" si="5"/>
        <v>4.0035999999999916</v>
      </c>
    </row>
    <row r="44" spans="1:20">
      <c r="A44">
        <v>41</v>
      </c>
      <c r="B44">
        <f t="shared" si="2"/>
        <v>81</v>
      </c>
      <c r="C44" s="207"/>
      <c r="D44" s="207"/>
      <c r="E44" s="207"/>
      <c r="F44" s="120" t="str">
        <f t="shared" si="3"/>
        <v/>
      </c>
      <c r="N44">
        <f t="shared" si="4"/>
        <v>0</v>
      </c>
      <c r="T44">
        <f t="shared" si="5"/>
        <v>4.0036999999999914</v>
      </c>
    </row>
    <row r="45" spans="1:20">
      <c r="A45">
        <v>42</v>
      </c>
      <c r="B45">
        <f t="shared" si="2"/>
        <v>83</v>
      </c>
      <c r="C45" s="207"/>
      <c r="D45" s="207"/>
      <c r="E45" s="207"/>
      <c r="F45" s="120" t="str">
        <f t="shared" si="3"/>
        <v/>
      </c>
      <c r="N45">
        <f t="shared" si="4"/>
        <v>0</v>
      </c>
      <c r="T45">
        <f t="shared" si="5"/>
        <v>4.0037999999999911</v>
      </c>
    </row>
    <row r="46" spans="1:20">
      <c r="A46">
        <v>43</v>
      </c>
      <c r="B46">
        <f t="shared" si="2"/>
        <v>85</v>
      </c>
      <c r="C46" s="207"/>
      <c r="D46" s="207"/>
      <c r="E46" s="207"/>
      <c r="F46" s="120" t="str">
        <f t="shared" si="3"/>
        <v/>
      </c>
      <c r="N46">
        <f t="shared" si="4"/>
        <v>0</v>
      </c>
      <c r="T46">
        <f t="shared" si="5"/>
        <v>4.0038999999999909</v>
      </c>
    </row>
    <row r="47" spans="1:20">
      <c r="A47">
        <v>44</v>
      </c>
      <c r="B47">
        <f t="shared" si="2"/>
        <v>87</v>
      </c>
      <c r="C47" s="207"/>
      <c r="D47" s="207"/>
      <c r="E47" s="207"/>
      <c r="F47" s="120" t="str">
        <f t="shared" si="3"/>
        <v/>
      </c>
      <c r="N47">
        <f t="shared" si="4"/>
        <v>0</v>
      </c>
      <c r="T47">
        <f t="shared" si="5"/>
        <v>4.0039999999999907</v>
      </c>
    </row>
    <row r="48" spans="1:20">
      <c r="A48">
        <v>45</v>
      </c>
      <c r="B48">
        <f t="shared" si="2"/>
        <v>89</v>
      </c>
      <c r="C48" s="207"/>
      <c r="D48" s="207"/>
      <c r="E48" s="207"/>
      <c r="F48" s="120" t="str">
        <f t="shared" si="3"/>
        <v/>
      </c>
      <c r="N48">
        <f t="shared" si="4"/>
        <v>0</v>
      </c>
      <c r="T48">
        <f t="shared" si="5"/>
        <v>4.0040999999999904</v>
      </c>
    </row>
    <row r="49" spans="1:20">
      <c r="A49">
        <v>46</v>
      </c>
      <c r="B49">
        <f t="shared" si="2"/>
        <v>91</v>
      </c>
      <c r="C49" s="207"/>
      <c r="D49" s="207"/>
      <c r="E49" s="207"/>
      <c r="F49" s="120" t="str">
        <f t="shared" si="3"/>
        <v/>
      </c>
      <c r="N49">
        <f t="shared" si="4"/>
        <v>0</v>
      </c>
      <c r="T49">
        <f t="shared" si="5"/>
        <v>4.0041999999999902</v>
      </c>
    </row>
    <row r="50" spans="1:20">
      <c r="A50">
        <v>47</v>
      </c>
      <c r="B50">
        <f t="shared" si="2"/>
        <v>93</v>
      </c>
      <c r="C50" s="207"/>
      <c r="D50" s="207"/>
      <c r="E50" s="207"/>
      <c r="F50" s="120" t="str">
        <f t="shared" si="3"/>
        <v/>
      </c>
      <c r="N50">
        <f t="shared" si="4"/>
        <v>0</v>
      </c>
      <c r="T50">
        <f t="shared" si="5"/>
        <v>4.00429999999999</v>
      </c>
    </row>
    <row r="51" spans="1:20">
      <c r="A51">
        <v>48</v>
      </c>
      <c r="B51">
        <f t="shared" si="2"/>
        <v>95</v>
      </c>
      <c r="C51" s="207"/>
      <c r="D51" s="207"/>
      <c r="E51" s="207"/>
      <c r="F51" s="120" t="str">
        <f t="shared" si="3"/>
        <v/>
      </c>
      <c r="N51">
        <f t="shared" si="4"/>
        <v>0</v>
      </c>
      <c r="T51">
        <f t="shared" si="5"/>
        <v>4.0043999999999897</v>
      </c>
    </row>
    <row r="52" spans="1:20">
      <c r="A52">
        <v>49</v>
      </c>
      <c r="B52">
        <f t="shared" si="2"/>
        <v>97</v>
      </c>
      <c r="C52" s="207"/>
      <c r="D52" s="207"/>
      <c r="E52" s="207"/>
      <c r="F52" s="120" t="str">
        <f t="shared" si="3"/>
        <v/>
      </c>
      <c r="N52">
        <f t="shared" si="4"/>
        <v>0</v>
      </c>
      <c r="T52">
        <f t="shared" si="5"/>
        <v>4.0044999999999895</v>
      </c>
    </row>
    <row r="53" spans="1:20">
      <c r="A53">
        <v>50</v>
      </c>
      <c r="B53">
        <f t="shared" si="2"/>
        <v>99</v>
      </c>
      <c r="C53" s="207"/>
      <c r="D53" s="207"/>
      <c r="E53" s="207"/>
      <c r="F53" s="120" t="str">
        <f t="shared" si="3"/>
        <v/>
      </c>
      <c r="N53">
        <f t="shared" si="4"/>
        <v>0</v>
      </c>
      <c r="T53">
        <f t="shared" si="5"/>
        <v>4.0045999999999893</v>
      </c>
    </row>
    <row r="54" spans="1:20">
      <c r="A54">
        <v>51</v>
      </c>
      <c r="B54">
        <f t="shared" si="2"/>
        <v>101</v>
      </c>
      <c r="C54" s="207"/>
      <c r="D54" s="207"/>
      <c r="E54" s="207"/>
      <c r="F54" s="120" t="str">
        <f t="shared" si="3"/>
        <v/>
      </c>
      <c r="N54">
        <f t="shared" si="4"/>
        <v>0</v>
      </c>
      <c r="T54">
        <f t="shared" si="5"/>
        <v>4.004699999999989</v>
      </c>
    </row>
    <row r="55" spans="1:20">
      <c r="A55">
        <v>52</v>
      </c>
      <c r="B55">
        <f t="shared" si="2"/>
        <v>103</v>
      </c>
      <c r="C55" s="207"/>
      <c r="D55" s="207"/>
      <c r="E55" s="207"/>
      <c r="F55" s="120" t="str">
        <f t="shared" si="3"/>
        <v/>
      </c>
      <c r="N55">
        <f t="shared" si="4"/>
        <v>0</v>
      </c>
      <c r="T55">
        <f t="shared" si="5"/>
        <v>4.0047999999999888</v>
      </c>
    </row>
    <row r="56" spans="1:20">
      <c r="A56">
        <v>53</v>
      </c>
      <c r="B56">
        <f t="shared" si="2"/>
        <v>105</v>
      </c>
      <c r="C56" s="207"/>
      <c r="D56" s="207"/>
      <c r="E56" s="207"/>
      <c r="F56" s="120" t="str">
        <f t="shared" si="3"/>
        <v/>
      </c>
      <c r="N56">
        <f t="shared" si="4"/>
        <v>0</v>
      </c>
      <c r="T56">
        <f t="shared" si="5"/>
        <v>4.0048999999999886</v>
      </c>
    </row>
    <row r="57" spans="1:20">
      <c r="A57">
        <v>54</v>
      </c>
      <c r="B57">
        <f t="shared" si="2"/>
        <v>107</v>
      </c>
      <c r="C57" s="207"/>
      <c r="D57" s="207"/>
      <c r="E57" s="207"/>
      <c r="F57" s="120" t="str">
        <f t="shared" si="3"/>
        <v/>
      </c>
      <c r="N57">
        <f t="shared" si="4"/>
        <v>0</v>
      </c>
      <c r="T57">
        <f t="shared" si="5"/>
        <v>4.0049999999999883</v>
      </c>
    </row>
    <row r="58" spans="1:20">
      <c r="A58">
        <v>55</v>
      </c>
      <c r="B58">
        <f t="shared" si="2"/>
        <v>109</v>
      </c>
      <c r="C58" s="207"/>
      <c r="D58" s="207"/>
      <c r="E58" s="207"/>
      <c r="F58" s="120" t="str">
        <f t="shared" si="3"/>
        <v/>
      </c>
      <c r="N58">
        <f t="shared" si="4"/>
        <v>0</v>
      </c>
      <c r="T58">
        <f t="shared" si="5"/>
        <v>4.0050999999999881</v>
      </c>
    </row>
    <row r="59" spans="1:20">
      <c r="A59">
        <v>56</v>
      </c>
      <c r="B59">
        <f t="shared" si="2"/>
        <v>111</v>
      </c>
      <c r="C59" s="207"/>
      <c r="D59" s="207"/>
      <c r="E59" s="207"/>
      <c r="F59" s="120" t="str">
        <f t="shared" si="3"/>
        <v/>
      </c>
      <c r="N59">
        <f t="shared" si="4"/>
        <v>0</v>
      </c>
      <c r="T59">
        <f t="shared" si="5"/>
        <v>4.0051999999999879</v>
      </c>
    </row>
    <row r="60" spans="1:20">
      <c r="A60">
        <v>57</v>
      </c>
      <c r="B60">
        <f t="shared" si="2"/>
        <v>113</v>
      </c>
      <c r="C60" s="207"/>
      <c r="D60" s="207"/>
      <c r="E60" s="207"/>
      <c r="F60" s="120" t="str">
        <f t="shared" si="3"/>
        <v/>
      </c>
      <c r="N60">
        <f t="shared" si="4"/>
        <v>0</v>
      </c>
      <c r="T60">
        <f t="shared" si="5"/>
        <v>4.0052999999999876</v>
      </c>
    </row>
    <row r="61" spans="1:20">
      <c r="A61">
        <v>58</v>
      </c>
      <c r="B61">
        <f t="shared" si="2"/>
        <v>115</v>
      </c>
      <c r="C61" s="207"/>
      <c r="D61" s="207"/>
      <c r="E61" s="207"/>
      <c r="F61" s="120" t="str">
        <f t="shared" si="3"/>
        <v/>
      </c>
      <c r="N61">
        <f t="shared" si="4"/>
        <v>0</v>
      </c>
      <c r="T61">
        <f t="shared" si="5"/>
        <v>4.0053999999999874</v>
      </c>
    </row>
    <row r="62" spans="1:20">
      <c r="A62">
        <v>59</v>
      </c>
      <c r="B62">
        <f t="shared" si="2"/>
        <v>117</v>
      </c>
      <c r="C62" s="207"/>
      <c r="D62" s="207"/>
      <c r="E62" s="207"/>
      <c r="F62" s="120" t="str">
        <f t="shared" si="3"/>
        <v/>
      </c>
      <c r="N62">
        <f t="shared" si="4"/>
        <v>0</v>
      </c>
      <c r="T62">
        <f t="shared" si="5"/>
        <v>4.0054999999999872</v>
      </c>
    </row>
    <row r="63" spans="1:20">
      <c r="A63">
        <v>60</v>
      </c>
      <c r="B63">
        <f t="shared" si="2"/>
        <v>119</v>
      </c>
      <c r="C63" s="207"/>
      <c r="D63" s="207"/>
      <c r="E63" s="207"/>
      <c r="F63" s="120" t="str">
        <f t="shared" si="3"/>
        <v/>
      </c>
      <c r="N63">
        <f t="shared" si="4"/>
        <v>0</v>
      </c>
      <c r="T63">
        <f t="shared" si="5"/>
        <v>4.0055999999999869</v>
      </c>
    </row>
    <row r="64" spans="1:20">
      <c r="A64">
        <v>61</v>
      </c>
      <c r="B64">
        <f t="shared" si="2"/>
        <v>121</v>
      </c>
      <c r="C64" s="207"/>
      <c r="D64" s="207"/>
      <c r="E64" s="207"/>
      <c r="F64" s="120" t="str">
        <f t="shared" si="3"/>
        <v/>
      </c>
      <c r="N64">
        <f t="shared" si="4"/>
        <v>0</v>
      </c>
      <c r="T64">
        <f t="shared" si="5"/>
        <v>4.0056999999999867</v>
      </c>
    </row>
    <row r="65" spans="1:20">
      <c r="A65">
        <v>62</v>
      </c>
      <c r="B65">
        <f t="shared" si="2"/>
        <v>123</v>
      </c>
      <c r="C65" s="207"/>
      <c r="D65" s="207"/>
      <c r="E65" s="207"/>
      <c r="F65" s="120" t="str">
        <f t="shared" si="3"/>
        <v/>
      </c>
      <c r="N65">
        <f t="shared" si="4"/>
        <v>0</v>
      </c>
      <c r="T65">
        <f t="shared" si="5"/>
        <v>4.0057999999999865</v>
      </c>
    </row>
    <row r="66" spans="1:20">
      <c r="A66">
        <v>63</v>
      </c>
      <c r="B66">
        <f t="shared" si="2"/>
        <v>125</v>
      </c>
      <c r="C66" s="207"/>
      <c r="D66" s="207"/>
      <c r="E66" s="207"/>
      <c r="F66" s="120" t="str">
        <f t="shared" si="3"/>
        <v/>
      </c>
      <c r="N66">
        <f t="shared" si="4"/>
        <v>0</v>
      </c>
      <c r="T66">
        <f t="shared" si="5"/>
        <v>4.0058999999999862</v>
      </c>
    </row>
    <row r="67" spans="1:20">
      <c r="A67">
        <v>64</v>
      </c>
      <c r="B67">
        <f t="shared" si="2"/>
        <v>127</v>
      </c>
      <c r="C67" s="207"/>
      <c r="D67" s="207"/>
      <c r="E67" s="207"/>
      <c r="F67" s="120" t="str">
        <f t="shared" si="3"/>
        <v/>
      </c>
      <c r="N67">
        <f t="shared" si="4"/>
        <v>0</v>
      </c>
      <c r="T67">
        <f t="shared" si="5"/>
        <v>4.005999999999986</v>
      </c>
    </row>
    <row r="68" spans="1:20">
      <c r="A68">
        <v>65</v>
      </c>
      <c r="B68">
        <f t="shared" si="2"/>
        <v>129</v>
      </c>
      <c r="C68" s="207"/>
      <c r="D68" s="207"/>
      <c r="E68" s="207"/>
      <c r="F68" s="120" t="str">
        <f t="shared" si="3"/>
        <v/>
      </c>
      <c r="N68">
        <f t="shared" ref="N68:N96" si="6">C68</f>
        <v>0</v>
      </c>
      <c r="T68">
        <f t="shared" ref="T68:T96" si="7">IF(C68="",T67+0.0001,C68)</f>
        <v>4.0060999999999858</v>
      </c>
    </row>
    <row r="69" spans="1:20">
      <c r="A69">
        <v>66</v>
      </c>
      <c r="B69">
        <f t="shared" si="2"/>
        <v>131</v>
      </c>
      <c r="C69" s="207"/>
      <c r="D69" s="207"/>
      <c r="E69" s="207"/>
      <c r="F69" s="120" t="str">
        <f t="shared" si="3"/>
        <v/>
      </c>
      <c r="N69">
        <f t="shared" si="6"/>
        <v>0</v>
      </c>
      <c r="T69">
        <f t="shared" si="7"/>
        <v>4.0061999999999856</v>
      </c>
    </row>
    <row r="70" spans="1:20">
      <c r="A70">
        <v>67</v>
      </c>
      <c r="B70">
        <f t="shared" ref="B70:B96" si="8">B69+2</f>
        <v>133</v>
      </c>
      <c r="C70" s="207"/>
      <c r="D70" s="207"/>
      <c r="E70" s="207"/>
      <c r="F70" s="120" t="str">
        <f t="shared" si="3"/>
        <v/>
      </c>
      <c r="N70">
        <f t="shared" si="6"/>
        <v>0</v>
      </c>
      <c r="T70">
        <f t="shared" si="7"/>
        <v>4.0062999999999853</v>
      </c>
    </row>
    <row r="71" spans="1:20">
      <c r="A71">
        <v>68</v>
      </c>
      <c r="B71">
        <f t="shared" si="8"/>
        <v>135</v>
      </c>
      <c r="C71" s="207"/>
      <c r="D71" s="207"/>
      <c r="E71" s="207"/>
      <c r="F71" s="120" t="str">
        <f t="shared" ref="F71:F95" si="9">IF(C71="","",IF(OR(C71&lt;C70,C71&lt;C69),"Bitte Projektnummern in aufsteigender Reihenfolge eingeben",IF(AND(D71="",OR(C72&lt;&gt;"",C73&lt;&gt;"")),"Bitte Projektname ausfüllen","")))</f>
        <v/>
      </c>
      <c r="N71">
        <f t="shared" si="6"/>
        <v>0</v>
      </c>
      <c r="T71">
        <f t="shared" si="7"/>
        <v>4.0063999999999851</v>
      </c>
    </row>
    <row r="72" spans="1:20">
      <c r="A72">
        <v>69</v>
      </c>
      <c r="B72">
        <f t="shared" si="8"/>
        <v>137</v>
      </c>
      <c r="C72" s="207"/>
      <c r="D72" s="207"/>
      <c r="E72" s="207"/>
      <c r="F72" s="120" t="str">
        <f t="shared" si="9"/>
        <v/>
      </c>
      <c r="N72">
        <f t="shared" si="6"/>
        <v>0</v>
      </c>
      <c r="T72">
        <f t="shared" si="7"/>
        <v>4.0064999999999849</v>
      </c>
    </row>
    <row r="73" spans="1:20">
      <c r="A73">
        <v>70</v>
      </c>
      <c r="B73">
        <f t="shared" si="8"/>
        <v>139</v>
      </c>
      <c r="C73" s="207"/>
      <c r="D73" s="207"/>
      <c r="E73" s="207"/>
      <c r="F73" s="120" t="str">
        <f t="shared" si="9"/>
        <v/>
      </c>
      <c r="N73">
        <f t="shared" si="6"/>
        <v>0</v>
      </c>
      <c r="T73">
        <f t="shared" si="7"/>
        <v>4.0065999999999846</v>
      </c>
    </row>
    <row r="74" spans="1:20">
      <c r="A74">
        <v>71</v>
      </c>
      <c r="B74">
        <f t="shared" si="8"/>
        <v>141</v>
      </c>
      <c r="C74" s="207"/>
      <c r="D74" s="207"/>
      <c r="E74" s="207"/>
      <c r="F74" s="120" t="str">
        <f t="shared" si="9"/>
        <v/>
      </c>
      <c r="N74">
        <f t="shared" si="6"/>
        <v>0</v>
      </c>
      <c r="T74">
        <f t="shared" si="7"/>
        <v>4.0066999999999844</v>
      </c>
    </row>
    <row r="75" spans="1:20">
      <c r="A75">
        <v>72</v>
      </c>
      <c r="B75">
        <f t="shared" si="8"/>
        <v>143</v>
      </c>
      <c r="C75" s="207"/>
      <c r="D75" s="207"/>
      <c r="E75" s="207"/>
      <c r="F75" s="120" t="str">
        <f t="shared" si="9"/>
        <v/>
      </c>
      <c r="N75">
        <f t="shared" si="6"/>
        <v>0</v>
      </c>
      <c r="T75">
        <f t="shared" si="7"/>
        <v>4.0067999999999842</v>
      </c>
    </row>
    <row r="76" spans="1:20">
      <c r="A76">
        <v>73</v>
      </c>
      <c r="B76">
        <f t="shared" si="8"/>
        <v>145</v>
      </c>
      <c r="C76" s="207"/>
      <c r="D76" s="207"/>
      <c r="E76" s="207"/>
      <c r="F76" s="120" t="str">
        <f t="shared" si="9"/>
        <v/>
      </c>
      <c r="N76">
        <f t="shared" si="6"/>
        <v>0</v>
      </c>
      <c r="T76">
        <f t="shared" si="7"/>
        <v>4.0068999999999839</v>
      </c>
    </row>
    <row r="77" spans="1:20">
      <c r="A77">
        <v>74</v>
      </c>
      <c r="B77">
        <f t="shared" si="8"/>
        <v>147</v>
      </c>
      <c r="C77" s="207"/>
      <c r="D77" s="207"/>
      <c r="E77" s="207"/>
      <c r="F77" s="120" t="str">
        <f t="shared" si="9"/>
        <v/>
      </c>
      <c r="N77">
        <f t="shared" si="6"/>
        <v>0</v>
      </c>
      <c r="T77">
        <f t="shared" si="7"/>
        <v>4.0069999999999837</v>
      </c>
    </row>
    <row r="78" spans="1:20">
      <c r="A78">
        <v>75</v>
      </c>
      <c r="B78">
        <f t="shared" si="8"/>
        <v>149</v>
      </c>
      <c r="C78" s="207"/>
      <c r="D78" s="207"/>
      <c r="E78" s="207"/>
      <c r="F78" s="120" t="str">
        <f t="shared" si="9"/>
        <v/>
      </c>
      <c r="N78">
        <f t="shared" si="6"/>
        <v>0</v>
      </c>
      <c r="T78">
        <f t="shared" si="7"/>
        <v>4.0070999999999835</v>
      </c>
    </row>
    <row r="79" spans="1:20">
      <c r="A79">
        <v>76</v>
      </c>
      <c r="B79">
        <f t="shared" si="8"/>
        <v>151</v>
      </c>
      <c r="C79" s="207"/>
      <c r="D79" s="207"/>
      <c r="E79" s="207"/>
      <c r="F79" s="120" t="str">
        <f t="shared" si="9"/>
        <v/>
      </c>
      <c r="N79">
        <f t="shared" si="6"/>
        <v>0</v>
      </c>
      <c r="T79">
        <f t="shared" si="7"/>
        <v>4.0071999999999832</v>
      </c>
    </row>
    <row r="80" spans="1:20">
      <c r="A80">
        <v>77</v>
      </c>
      <c r="B80">
        <f t="shared" si="8"/>
        <v>153</v>
      </c>
      <c r="C80" s="207"/>
      <c r="D80" s="207"/>
      <c r="E80" s="207"/>
      <c r="F80" s="120" t="str">
        <f t="shared" si="9"/>
        <v/>
      </c>
      <c r="N80">
        <f t="shared" si="6"/>
        <v>0</v>
      </c>
      <c r="T80">
        <f t="shared" si="7"/>
        <v>4.007299999999983</v>
      </c>
    </row>
    <row r="81" spans="1:20">
      <c r="A81">
        <v>78</v>
      </c>
      <c r="B81">
        <f t="shared" si="8"/>
        <v>155</v>
      </c>
      <c r="C81" s="207"/>
      <c r="D81" s="207"/>
      <c r="E81" s="207"/>
      <c r="F81" s="120" t="str">
        <f t="shared" si="9"/>
        <v/>
      </c>
      <c r="N81">
        <f t="shared" si="6"/>
        <v>0</v>
      </c>
      <c r="T81">
        <f t="shared" si="7"/>
        <v>4.0073999999999828</v>
      </c>
    </row>
    <row r="82" spans="1:20">
      <c r="A82">
        <v>79</v>
      </c>
      <c r="B82">
        <f t="shared" si="8"/>
        <v>157</v>
      </c>
      <c r="C82" s="207"/>
      <c r="D82" s="207"/>
      <c r="E82" s="207"/>
      <c r="F82" s="120" t="str">
        <f t="shared" si="9"/>
        <v/>
      </c>
      <c r="N82">
        <f t="shared" si="6"/>
        <v>0</v>
      </c>
      <c r="T82">
        <f t="shared" si="7"/>
        <v>4.0074999999999825</v>
      </c>
    </row>
    <row r="83" spans="1:20">
      <c r="A83">
        <v>80</v>
      </c>
      <c r="B83">
        <f t="shared" si="8"/>
        <v>159</v>
      </c>
      <c r="C83" s="207"/>
      <c r="D83" s="207"/>
      <c r="E83" s="207"/>
      <c r="F83" s="120" t="str">
        <f t="shared" si="9"/>
        <v/>
      </c>
      <c r="N83">
        <f t="shared" si="6"/>
        <v>0</v>
      </c>
      <c r="T83">
        <f t="shared" si="7"/>
        <v>4.0075999999999823</v>
      </c>
    </row>
    <row r="84" spans="1:20">
      <c r="A84">
        <v>81</v>
      </c>
      <c r="B84">
        <f t="shared" si="8"/>
        <v>161</v>
      </c>
      <c r="C84" s="207"/>
      <c r="D84" s="207"/>
      <c r="E84" s="207"/>
      <c r="F84" s="120" t="str">
        <f t="shared" si="9"/>
        <v/>
      </c>
      <c r="N84">
        <f t="shared" si="6"/>
        <v>0</v>
      </c>
      <c r="T84">
        <f t="shared" si="7"/>
        <v>4.0076999999999821</v>
      </c>
    </row>
    <row r="85" spans="1:20">
      <c r="A85">
        <v>82</v>
      </c>
      <c r="B85">
        <f t="shared" si="8"/>
        <v>163</v>
      </c>
      <c r="C85" s="207"/>
      <c r="D85" s="207"/>
      <c r="E85" s="207"/>
      <c r="F85" s="120" t="str">
        <f t="shared" si="9"/>
        <v/>
      </c>
      <c r="N85">
        <f t="shared" si="6"/>
        <v>0</v>
      </c>
      <c r="T85">
        <f t="shared" si="7"/>
        <v>4.0077999999999818</v>
      </c>
    </row>
    <row r="86" spans="1:20">
      <c r="A86">
        <v>83</v>
      </c>
      <c r="B86">
        <f t="shared" si="8"/>
        <v>165</v>
      </c>
      <c r="C86" s="207"/>
      <c r="D86" s="207"/>
      <c r="E86" s="207"/>
      <c r="F86" s="120" t="str">
        <f t="shared" si="9"/>
        <v/>
      </c>
      <c r="N86">
        <f t="shared" si="6"/>
        <v>0</v>
      </c>
      <c r="T86">
        <f t="shared" si="7"/>
        <v>4.0078999999999816</v>
      </c>
    </row>
    <row r="87" spans="1:20">
      <c r="A87">
        <v>84</v>
      </c>
      <c r="B87">
        <f t="shared" si="8"/>
        <v>167</v>
      </c>
      <c r="C87" s="207"/>
      <c r="D87" s="207"/>
      <c r="E87" s="207"/>
      <c r="F87" s="120" t="str">
        <f t="shared" si="9"/>
        <v/>
      </c>
      <c r="N87">
        <f t="shared" si="6"/>
        <v>0</v>
      </c>
      <c r="T87">
        <f t="shared" si="7"/>
        <v>4.0079999999999814</v>
      </c>
    </row>
    <row r="88" spans="1:20">
      <c r="A88">
        <v>85</v>
      </c>
      <c r="B88">
        <f t="shared" si="8"/>
        <v>169</v>
      </c>
      <c r="C88" s="207"/>
      <c r="D88" s="207"/>
      <c r="E88" s="207"/>
      <c r="F88" s="120" t="str">
        <f t="shared" si="9"/>
        <v/>
      </c>
      <c r="N88">
        <f t="shared" si="6"/>
        <v>0</v>
      </c>
      <c r="T88">
        <f t="shared" si="7"/>
        <v>4.0080999999999811</v>
      </c>
    </row>
    <row r="89" spans="1:20">
      <c r="A89">
        <v>86</v>
      </c>
      <c r="B89">
        <f t="shared" si="8"/>
        <v>171</v>
      </c>
      <c r="C89" s="207"/>
      <c r="D89" s="207"/>
      <c r="E89" s="207"/>
      <c r="F89" s="120" t="str">
        <f t="shared" si="9"/>
        <v/>
      </c>
      <c r="N89">
        <f t="shared" si="6"/>
        <v>0</v>
      </c>
      <c r="T89">
        <f t="shared" si="7"/>
        <v>4.0081999999999809</v>
      </c>
    </row>
    <row r="90" spans="1:20">
      <c r="A90">
        <v>87</v>
      </c>
      <c r="B90">
        <f t="shared" si="8"/>
        <v>173</v>
      </c>
      <c r="C90" s="207"/>
      <c r="D90" s="207"/>
      <c r="E90" s="207"/>
      <c r="F90" s="120" t="str">
        <f t="shared" si="9"/>
        <v/>
      </c>
      <c r="N90">
        <f t="shared" si="6"/>
        <v>0</v>
      </c>
      <c r="T90">
        <f t="shared" si="7"/>
        <v>4.0082999999999807</v>
      </c>
    </row>
    <row r="91" spans="1:20">
      <c r="A91">
        <v>88</v>
      </c>
      <c r="B91">
        <f t="shared" si="8"/>
        <v>175</v>
      </c>
      <c r="C91" s="207"/>
      <c r="D91" s="207"/>
      <c r="E91" s="207"/>
      <c r="F91" s="120" t="str">
        <f t="shared" si="9"/>
        <v/>
      </c>
      <c r="N91">
        <f t="shared" si="6"/>
        <v>0</v>
      </c>
      <c r="T91">
        <f t="shared" si="7"/>
        <v>4.0083999999999804</v>
      </c>
    </row>
    <row r="92" spans="1:20">
      <c r="A92">
        <v>89</v>
      </c>
      <c r="B92">
        <f t="shared" si="8"/>
        <v>177</v>
      </c>
      <c r="C92" s="207"/>
      <c r="D92" s="207"/>
      <c r="E92" s="207"/>
      <c r="F92" s="120" t="str">
        <f t="shared" si="9"/>
        <v/>
      </c>
      <c r="N92">
        <f t="shared" si="6"/>
        <v>0</v>
      </c>
      <c r="T92">
        <f t="shared" si="7"/>
        <v>4.0084999999999802</v>
      </c>
    </row>
    <row r="93" spans="1:20">
      <c r="A93">
        <v>90</v>
      </c>
      <c r="B93">
        <f t="shared" si="8"/>
        <v>179</v>
      </c>
      <c r="C93" s="207"/>
      <c r="D93" s="207"/>
      <c r="E93" s="207"/>
      <c r="F93" s="120" t="str">
        <f t="shared" si="9"/>
        <v/>
      </c>
      <c r="N93">
        <f t="shared" si="6"/>
        <v>0</v>
      </c>
      <c r="T93">
        <f t="shared" si="7"/>
        <v>4.00859999999998</v>
      </c>
    </row>
    <row r="94" spans="1:20">
      <c r="A94">
        <v>91</v>
      </c>
      <c r="B94">
        <f t="shared" si="8"/>
        <v>181</v>
      </c>
      <c r="C94" s="207"/>
      <c r="D94" s="207"/>
      <c r="E94" s="207"/>
      <c r="F94" s="120" t="str">
        <f t="shared" si="9"/>
        <v/>
      </c>
      <c r="N94">
        <f t="shared" si="6"/>
        <v>0</v>
      </c>
      <c r="T94">
        <f t="shared" si="7"/>
        <v>4.0086999999999797</v>
      </c>
    </row>
    <row r="95" spans="1:20">
      <c r="A95">
        <v>92</v>
      </c>
      <c r="B95">
        <f t="shared" si="8"/>
        <v>183</v>
      </c>
      <c r="C95" s="207"/>
      <c r="D95" s="207"/>
      <c r="E95" s="207"/>
      <c r="F95" s="120" t="str">
        <f t="shared" si="9"/>
        <v/>
      </c>
      <c r="N95">
        <f t="shared" si="6"/>
        <v>0</v>
      </c>
      <c r="T95">
        <f t="shared" si="7"/>
        <v>4.0087999999999795</v>
      </c>
    </row>
    <row r="96" spans="1:20">
      <c r="A96">
        <v>93</v>
      </c>
      <c r="B96">
        <f t="shared" si="8"/>
        <v>185</v>
      </c>
      <c r="C96" s="209"/>
      <c r="D96" s="209"/>
      <c r="F96" s="7"/>
      <c r="N96">
        <f t="shared" si="6"/>
        <v>0</v>
      </c>
      <c r="T96">
        <f t="shared" si="7"/>
        <v>4.0088999999999793</v>
      </c>
    </row>
    <row r="97" spans="3:4">
      <c r="C97" s="200"/>
      <c r="D97" s="200"/>
    </row>
  </sheetData>
  <sheetProtection sheet="1" formatCells="0" insertHyperlinks="0"/>
  <mergeCells count="2">
    <mergeCell ref="C1:F1"/>
    <mergeCell ref="C2:E2"/>
  </mergeCells>
  <phoneticPr fontId="0" type="noConversion"/>
  <conditionalFormatting sqref="F96">
    <cfRule type="cellIs" dxfId="157" priority="1" stopIfTrue="1" operator="notEqual">
      <formula>""</formula>
    </cfRule>
  </conditionalFormatting>
  <conditionalFormatting sqref="F4:F95">
    <cfRule type="cellIs" dxfId="156" priority="2" stopIfTrue="1" operator="notEqual">
      <formula>""</formula>
    </cfRule>
  </conditionalFormatting>
  <pageMargins left="0.78740157480314965" right="0.78740157480314965" top="0.78740157480314965" bottom="0.87" header="0.51181102362204722" footer="0.51181102362204722"/>
  <pageSetup paperSize="9" orientation="portrait" r:id="rId1"/>
  <headerFooter alignWithMargins="0">
    <oddFooter>&amp;L&amp;8Ausdruck vom &amp;D, &amp;T&amp;C&amp;8vereinsbuchhaltung.ch&amp;R&amp;8Seite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91"/>
  <sheetViews>
    <sheetView tabSelected="1" workbookViewId="0">
      <pane xSplit="2" ySplit="6" topLeftCell="D7" activePane="bottomRight" state="frozen"/>
      <selection pane="bottomRight" activeCell="D7" sqref="D7"/>
      <selection pane="bottomLeft" activeCell="A7" sqref="A7"/>
      <selection pane="topRight" activeCell="B1" sqref="B1"/>
    </sheetView>
  </sheetViews>
  <sheetFormatPr defaultColWidth="11.42578125" defaultRowHeight="12.75"/>
  <cols>
    <col min="1" max="1" width="0" hidden="1" customWidth="1"/>
    <col min="2" max="3" width="13.140625" hidden="1" customWidth="1"/>
    <col min="4" max="4" width="7.5703125" customWidth="1"/>
    <col min="5" max="5" width="11.28515625" customWidth="1"/>
    <col min="6" max="7" width="6.42578125" customWidth="1"/>
    <col min="8" max="8" width="8.140625" customWidth="1"/>
    <col min="9" max="9" width="12.42578125" customWidth="1"/>
    <col min="10" max="10" width="41" customWidth="1"/>
    <col min="11" max="11" width="45.28515625" customWidth="1"/>
    <col min="12" max="13" width="23.7109375" customWidth="1"/>
    <col min="14" max="18" width="0" hidden="1" customWidth="1"/>
  </cols>
  <sheetData>
    <row r="1" spans="1:43" ht="51.75" customHeight="1">
      <c r="B1" s="150" t="str">
        <f>Calc!H286</f>
        <v>Bitte lösen Sie eine gültige Lizenz bei: vereinsbuchhaltung@bluemail.ch. Ohne gültige Lizenz sind Bilanz und Erfolgsrechnung unbrauchbar.</v>
      </c>
      <c r="D1" s="256" t="s">
        <v>173</v>
      </c>
      <c r="E1" s="257"/>
      <c r="F1" s="257"/>
      <c r="G1" s="257"/>
      <c r="H1" s="257"/>
      <c r="I1" s="257"/>
      <c r="J1" s="257"/>
      <c r="K1" s="259" t="s">
        <v>174</v>
      </c>
      <c r="L1" s="253" t="str">
        <f ca="1">Calc!P1</f>
        <v>Status ok</v>
      </c>
      <c r="M1" s="254"/>
      <c r="N1" s="9"/>
      <c r="O1" s="9"/>
      <c r="P1" s="9"/>
      <c r="Q1" s="9"/>
      <c r="R1" s="9"/>
      <c r="S1" s="9"/>
      <c r="T1" s="9"/>
      <c r="U1" s="9"/>
      <c r="V1" s="9"/>
      <c r="W1" s="9"/>
      <c r="X1" s="9"/>
      <c r="Y1" s="9"/>
    </row>
    <row r="2" spans="1:43" ht="37.5" customHeight="1">
      <c r="B2" s="145">
        <f>Kontoauszug!J2</f>
        <v>0</v>
      </c>
      <c r="D2" s="258" t="s">
        <v>175</v>
      </c>
      <c r="E2" s="258"/>
      <c r="F2" s="258"/>
      <c r="G2" s="258"/>
      <c r="H2" s="258"/>
      <c r="I2" s="258"/>
      <c r="J2" s="258"/>
      <c r="K2" s="260"/>
      <c r="L2" s="255"/>
      <c r="M2" s="254"/>
      <c r="N2" s="9"/>
      <c r="O2" s="9"/>
      <c r="P2" s="9"/>
      <c r="Q2" s="9">
        <v>1</v>
      </c>
      <c r="R2" s="9">
        <v>1.1000000000000001</v>
      </c>
      <c r="S2" s="9"/>
      <c r="T2" s="9"/>
      <c r="U2" s="9"/>
      <c r="V2" s="9"/>
      <c r="W2" s="9"/>
      <c r="X2" s="9"/>
      <c r="Y2" s="9"/>
    </row>
    <row r="3" spans="1:43">
      <c r="B3" s="146">
        <f>IF(Kontoauszug!K2="",65000,Kontoauszug!K2)</f>
        <v>65000</v>
      </c>
      <c r="C3" s="93"/>
      <c r="D3" s="263" t="s">
        <v>176</v>
      </c>
      <c r="E3" s="265" t="s">
        <v>177</v>
      </c>
      <c r="F3" s="267" t="s">
        <v>178</v>
      </c>
      <c r="G3" s="267"/>
      <c r="H3" s="210" t="s">
        <v>179</v>
      </c>
      <c r="I3" s="265" t="s">
        <v>180</v>
      </c>
      <c r="J3" s="265" t="s">
        <v>181</v>
      </c>
      <c r="K3" s="265" t="s">
        <v>182</v>
      </c>
      <c r="L3" s="211"/>
      <c r="M3" s="211"/>
      <c r="N3" s="212"/>
      <c r="O3" s="212"/>
      <c r="P3" s="212"/>
      <c r="Q3" s="212">
        <v>2</v>
      </c>
      <c r="R3" s="212">
        <v>2.1</v>
      </c>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row>
    <row r="4" spans="1:43">
      <c r="A4" s="200" t="s">
        <v>183</v>
      </c>
      <c r="B4" s="213" t="s">
        <v>184</v>
      </c>
      <c r="C4" s="213" t="s">
        <v>185</v>
      </c>
      <c r="D4" s="264"/>
      <c r="E4" s="266"/>
      <c r="F4" s="214" t="s">
        <v>186</v>
      </c>
      <c r="G4" s="214" t="s">
        <v>187</v>
      </c>
      <c r="H4" s="215" t="s">
        <v>188</v>
      </c>
      <c r="I4" s="266"/>
      <c r="J4" s="266"/>
      <c r="K4" s="266"/>
      <c r="L4" s="214"/>
      <c r="M4" s="214"/>
      <c r="N4" s="216"/>
      <c r="O4" s="216"/>
      <c r="P4" s="216"/>
      <c r="Q4" s="216">
        <v>3</v>
      </c>
      <c r="R4" s="216">
        <v>3.1</v>
      </c>
      <c r="S4" s="216"/>
      <c r="T4" s="216"/>
      <c r="U4" s="216"/>
      <c r="V4" s="216"/>
      <c r="W4" s="216"/>
      <c r="X4" s="216"/>
      <c r="Y4" s="216"/>
    </row>
    <row r="5" spans="1:43" ht="27.75" customHeight="1">
      <c r="D5" s="262" t="s">
        <v>189</v>
      </c>
      <c r="E5" s="262"/>
      <c r="F5" s="262"/>
      <c r="G5" s="262"/>
      <c r="H5" s="262"/>
      <c r="I5" s="262"/>
      <c r="J5" s="262"/>
      <c r="K5" s="262"/>
      <c r="L5" s="261" t="s">
        <v>190</v>
      </c>
      <c r="M5" s="261"/>
      <c r="N5" s="9"/>
      <c r="O5" s="9"/>
      <c r="P5" s="9"/>
      <c r="Q5" s="216">
        <v>4</v>
      </c>
      <c r="R5" s="216">
        <v>4.0999999999999996</v>
      </c>
      <c r="S5" s="9"/>
      <c r="T5" s="9"/>
      <c r="U5" s="9"/>
      <c r="V5" s="9"/>
      <c r="W5" s="9"/>
      <c r="X5" s="9"/>
      <c r="Y5" s="9"/>
    </row>
    <row r="6" spans="1:43">
      <c r="I6" s="10"/>
      <c r="K6" s="11" t="str">
        <f>IF(Calc!H284=0,"Bitte keine Zeilen einfügen; Bilanz wird unbrauchbar","")</f>
        <v/>
      </c>
      <c r="L6" s="13" t="s">
        <v>186</v>
      </c>
      <c r="M6" s="13" t="s">
        <v>187</v>
      </c>
      <c r="N6" s="9"/>
      <c r="O6" s="9"/>
      <c r="P6" s="9"/>
      <c r="Q6" s="9">
        <v>5</v>
      </c>
      <c r="R6" s="9">
        <v>5.0999999999999996</v>
      </c>
      <c r="S6" s="9"/>
      <c r="T6" s="9"/>
      <c r="U6" s="9"/>
      <c r="V6" s="9"/>
      <c r="W6" s="9"/>
      <c r="X6" s="9"/>
      <c r="Y6" s="9"/>
    </row>
    <row r="7" spans="1:43">
      <c r="A7">
        <f>IF(OR(F7=Kontoauszug!$H$2,G7=Kontoauszug!$H$2),ROUND(A6+1,0),A6+0.0001)</f>
        <v>1</v>
      </c>
      <c r="B7" s="16">
        <f>IF(AND(E7&gt;=$B$2,E7&lt;=$B$3,OR(F7=Kontoauszug!$H$2,G7=Kontoauszug!$H$2)),ROUND(B6+1,0),B6+0.0001)</f>
        <v>1</v>
      </c>
      <c r="C7" s="16">
        <f>IF(H7=Projektabrechnung!$F$2,ROUND(C6+1,0),C6+0.0001)</f>
        <v>1E-4</v>
      </c>
      <c r="D7" s="17">
        <v>1</v>
      </c>
      <c r="E7" s="18">
        <v>45658</v>
      </c>
      <c r="F7" s="19">
        <v>1000</v>
      </c>
      <c r="G7" s="20">
        <v>1010</v>
      </c>
      <c r="H7" s="195"/>
      <c r="I7" s="21">
        <v>40</v>
      </c>
      <c r="J7" s="217" t="s">
        <v>191</v>
      </c>
      <c r="K7" s="98" t="str">
        <f t="shared" ref="K7:K70" si="0">IF(N7&lt;&gt;"",N7,IF(O7&lt;&gt;"",O7,""))</f>
        <v/>
      </c>
      <c r="L7" s="100" t="str">
        <f>IF(F7="","",VLOOKUP(Journal!F7,Kontenplan!$E$9:$F$278,2))</f>
        <v>Kasse</v>
      </c>
      <c r="M7" s="99" t="str">
        <f>IF(G7="","",VLOOKUP(Journal!G7,Kontenplan!$E$9:$F$278,2))</f>
        <v>Postkonto</v>
      </c>
      <c r="N7" s="25" t="str">
        <f>IF(AND(G7="",I7="",J7=""),"",IF(AND(I7&gt;0,OR(F7="",G7="")),"Bitte gültige Kontonummer/n eingeben",IF(OR(F7&lt;1000,F7&gt;9999),"Sollkontonummer muss vierstellig sein",IF(VLOOKUP(F7,Kontenplan!$E$9:$E$278,1)&lt;&gt;F7,"Sollkonto existiert nicht",IF(D7=0,"Bitte Beleg-Nr. prüfen",IF(OR(G7&lt;1000,G7&gt;9999,VLOOKUP(G7,Kontenplan!$E$9:$F$278,1)&lt;&gt;G7),"Habenkonto exisitert nicht",""))))))</f>
        <v/>
      </c>
      <c r="O7" s="25" t="str">
        <f>IF(AND(D8&lt;&gt;"",G7&gt;0,F7&gt;0,OR(I7="",I7&lt;=0)),"Bitte Betrag prüfen",IF(AND(J7="",D8&gt;0),"Kein Text ist ok, aber nicht empfehlenswert",IF(AND(F7&lt;&gt;"",F7=G7),"Soll- und Habenkontonr. identisch",IF(OR(AND(E7="",G7&gt;0),AND(E7&lt;MAX(E6)-20,G7&gt;0)),"Datum möglicherweise falsch",""))))</f>
        <v/>
      </c>
      <c r="P7" s="25"/>
      <c r="Q7" s="212">
        <v>6</v>
      </c>
      <c r="R7" s="212">
        <v>6.1</v>
      </c>
      <c r="S7" s="25"/>
      <c r="T7" s="25"/>
      <c r="U7" s="25"/>
      <c r="V7" s="25"/>
      <c r="X7" s="25"/>
      <c r="Y7" s="25"/>
    </row>
    <row r="8" spans="1:43">
      <c r="A8">
        <f>IF(OR(F8=Kontoauszug!$H$2,G8=Kontoauszug!$H$2),ROUND(A7+1,0),A7+0.0001)</f>
        <v>1.0001</v>
      </c>
      <c r="B8" s="16">
        <f>IF(AND(E8&gt;=$B$2,E8&lt;=$B$3,OR(F8=Kontoauszug!$H$2,G8=Kontoauszug!$H$2)),ROUND(B7+1,0),B7+0.0001)</f>
        <v>1.0001</v>
      </c>
      <c r="C8" s="16">
        <f>IF(H8=Projektabrechnung!$F$2,ROUND(C7+1,0),C7+0.0001)</f>
        <v>2.0000000000000001E-4</v>
      </c>
      <c r="D8" s="17"/>
      <c r="E8" s="18"/>
      <c r="F8" s="19"/>
      <c r="G8" s="20"/>
      <c r="H8" s="195"/>
      <c r="I8" s="21"/>
      <c r="J8" s="22"/>
      <c r="K8" s="98" t="str">
        <f t="shared" si="0"/>
        <v/>
      </c>
      <c r="L8" s="100" t="str">
        <f>IF(F8="","",VLOOKUP(Journal!F8,Kontenplan!$E$9:$F$278,2))</f>
        <v/>
      </c>
      <c r="M8" s="99" t="str">
        <f>IF(G8="","",VLOOKUP(Journal!G8,Kontenplan!$E$9:$F$278,2))</f>
        <v/>
      </c>
      <c r="N8" s="25"/>
      <c r="O8" s="25" t="str">
        <f t="shared" ref="O8:O71" si="1">IF(AND(F8&lt;&gt;"",F8=G8),"Soll- und Habenkontonummern sind identisch",IF(AND(D9&lt;&gt;"",G8&gt;0,F8&gt;0,OR(I8="",I8&lt;=0)),"Bitte Betrag prüfen",IF(AND(J8="",D9&gt;0),"Kein Text ist ok, aber nicht empfehlenswert",IF(OR(AND(E8="",G8&gt;0),AND(E8&lt;MAX(E1:E7)-20,G8&gt;0)),"Datum möglicherweise falsch",""))))</f>
        <v/>
      </c>
      <c r="P8" s="25"/>
      <c r="Q8" s="216">
        <v>7</v>
      </c>
      <c r="R8" s="216">
        <v>7.1</v>
      </c>
      <c r="S8" s="25"/>
      <c r="T8" s="25"/>
      <c r="U8" s="25"/>
      <c r="V8" s="25"/>
      <c r="X8" s="25"/>
      <c r="Y8" s="25"/>
    </row>
    <row r="9" spans="1:43">
      <c r="A9">
        <f>IF(OR(F9=Kontoauszug!$H$2,G9=Kontoauszug!$H$2),ROUND(A8+1,0),A8+0.0001)</f>
        <v>1.0002</v>
      </c>
      <c r="B9" s="16">
        <f>IF(AND(E9&gt;=$B$2,E9&lt;=$B$3,OR(F9=Kontoauszug!$H$2,G9=Kontoauszug!$H$2)),ROUND(B8+1,0),B8+0.0001)</f>
        <v>1.0002</v>
      </c>
      <c r="C9" s="16">
        <f>IF(H9=Projektabrechnung!$F$2,ROUND(C8+1,0),C8+0.0001)</f>
        <v>3.0000000000000003E-4</v>
      </c>
      <c r="D9" s="17"/>
      <c r="E9" s="18"/>
      <c r="F9" s="19"/>
      <c r="G9" s="20"/>
      <c r="H9" s="195"/>
      <c r="I9" s="21"/>
      <c r="J9" s="22"/>
      <c r="K9" s="98" t="str">
        <f t="shared" si="0"/>
        <v/>
      </c>
      <c r="L9" s="100" t="str">
        <f>IF(F9="","",VLOOKUP(Journal!F9,Kontenplan!$E$9:$F$278,2))</f>
        <v/>
      </c>
      <c r="M9" s="99" t="str">
        <f>IF(G9="","",VLOOKUP(Journal!G9,Kontenplan!$E$9:$F$278,2))</f>
        <v/>
      </c>
      <c r="N9" s="25" t="str">
        <f>IF(AND(G9="",I9="",J9=""),"",IF(AND(I9&gt;0,OR(F9="",G9="")),"Bitte gültige Kontonummer/n eingeben",IF(OR(AND(F9&gt;0,F9&lt;1000),F9&gt;9999),"Sollkontonummer muss vierstellig sein",IF(VLOOKUP(F9,Kontenplan!$E$9:$E$277,1)&lt;&gt;F9,"Sollkonto existiert nicht",IF(D9=0,"Bitte Beleg-Nr. prüfen",IF(OR(AND(G9&gt;0,G9&lt;1000),G9&gt;9999),"Habenkontonummer muss vierstellig sein",IF(VLOOKUP(G9,Kontenplan!$E$9:$F$277,1)&lt;&gt;G9,"Habenkonto exisitert nicht","")))))))</f>
        <v/>
      </c>
      <c r="O9" s="25" t="str">
        <f t="shared" si="1"/>
        <v/>
      </c>
      <c r="P9" s="25"/>
      <c r="Q9" s="216">
        <v>8</v>
      </c>
      <c r="R9" s="216">
        <v>8.1</v>
      </c>
      <c r="S9" s="25"/>
      <c r="T9" s="25"/>
      <c r="U9" s="25"/>
      <c r="V9" s="25"/>
      <c r="X9" s="25"/>
      <c r="Y9" s="25"/>
    </row>
    <row r="10" spans="1:43">
      <c r="A10">
        <f>IF(OR(F10=Kontoauszug!$H$2,G10=Kontoauszug!$H$2),ROUND(A9+1,0),A9+0.0001)</f>
        <v>1.0003</v>
      </c>
      <c r="B10" s="16">
        <f>IF(AND(E10&gt;=$B$2,E10&lt;=$B$3,OR(F10=Kontoauszug!$H$2,G10=Kontoauszug!$H$2)),ROUND(B9+1,0),B9+0.0001)</f>
        <v>1.0003</v>
      </c>
      <c r="C10" s="16">
        <f>IF(H10=Projektabrechnung!$F$2,ROUND(C9+1,0),C9+0.0001)</f>
        <v>4.0000000000000002E-4</v>
      </c>
      <c r="D10" s="17"/>
      <c r="E10" s="18"/>
      <c r="F10" s="19"/>
      <c r="G10" s="20"/>
      <c r="H10" s="195"/>
      <c r="I10" s="21"/>
      <c r="J10" s="22"/>
      <c r="K10" s="98" t="str">
        <f t="shared" si="0"/>
        <v/>
      </c>
      <c r="L10" s="100" t="str">
        <f>IF(F10="","",VLOOKUP(Journal!F10,Kontenplan!$E$9:$F$278,2))</f>
        <v/>
      </c>
      <c r="M10" s="99" t="str">
        <f>IF(G10="","",VLOOKUP(Journal!G10,Kontenplan!$E$9:$F$278,2))</f>
        <v/>
      </c>
      <c r="N10" s="25" t="str">
        <f>IF(AND(G10="",I10="",J10=""),"",IF(AND(I10&gt;0,OR(F10="",G10="")),"Bitte gültige Kontonummer/n eingeben",IF(OR(AND(F10&gt;0,F10&lt;1000),F10&gt;9999),"Sollkontonummer muss vierstellig sein",IF(VLOOKUP(F10,Kontenplan!$E$9:$E$277,1)&lt;&gt;F10,"Sollkonto existiert nicht",IF(D10=0,"Bitte Beleg-Nr. prüfen",IF(OR(AND(G10&gt;0,G10&lt;1000),G10&gt;9999),"Habenkontonummer muss vierstellig sein",IF(VLOOKUP(G10,Kontenplan!$E$9:$F$277,1)&lt;&gt;G10,"Habenkonto exisitert nicht","")))))))</f>
        <v/>
      </c>
      <c r="O10" s="25" t="str">
        <f t="shared" si="1"/>
        <v/>
      </c>
      <c r="P10" s="25"/>
      <c r="Q10" s="9">
        <v>9</v>
      </c>
      <c r="R10" s="9">
        <v>9.1</v>
      </c>
      <c r="S10" s="25"/>
      <c r="T10" s="25"/>
      <c r="U10" s="25"/>
      <c r="V10" s="25"/>
      <c r="X10" s="25"/>
      <c r="Y10" s="25"/>
    </row>
    <row r="11" spans="1:43">
      <c r="A11">
        <f>IF(OR(F11=Kontoauszug!$H$2,G11=Kontoauszug!$H$2),ROUND(A10+1,0),A10+0.0001)</f>
        <v>1.0004</v>
      </c>
      <c r="B11" s="16">
        <f>IF(AND(E11&gt;=$B$2,E11&lt;=$B$3,OR(F11=Kontoauszug!$H$2,G11=Kontoauszug!$H$2)),ROUND(B10+1,0),B10+0.0001)</f>
        <v>1.0004</v>
      </c>
      <c r="C11" s="16">
        <f>IF(H11=Projektabrechnung!$F$2,ROUND(C10+1,0),C10+0.0001)</f>
        <v>5.0000000000000001E-4</v>
      </c>
      <c r="D11" s="17"/>
      <c r="E11" s="18"/>
      <c r="F11" s="19"/>
      <c r="G11" s="20"/>
      <c r="H11" s="195"/>
      <c r="I11" s="21"/>
      <c r="J11" s="22"/>
      <c r="K11" s="98" t="str">
        <f t="shared" si="0"/>
        <v/>
      </c>
      <c r="L11" s="100" t="str">
        <f>IF(F11="","",VLOOKUP(Journal!F11,Kontenplan!$E$9:$F$278,2))</f>
        <v/>
      </c>
      <c r="M11" s="99" t="str">
        <f>IF(G11="","",VLOOKUP(Journal!G11,Kontenplan!$E$9:$F$278,2))</f>
        <v/>
      </c>
      <c r="N11" s="25" t="str">
        <f>IF(AND(G11="",I11="",J11=""),"",IF(AND(I11&gt;0,OR(F11="",G11="")),"Bitte gültige Kontonummer/n eingeben",IF(OR(AND(F11&gt;0,F11&lt;1000),F11&gt;9999),"Sollkontonummer muss vierstellig sein",IF(VLOOKUP(F11,Kontenplan!$E$9:$E$277,1)&lt;&gt;F11,"Sollkonto existiert nicht",IF(D11=0,"Bitte Beleg-Nr. prüfen",IF(OR(AND(G11&gt;0,G11&lt;1000),G11&gt;9999),"Habenkontonummer muss vierstellig sein",IF(VLOOKUP(G11,Kontenplan!$E$9:$F$277,1)&lt;&gt;G11,"Habenkonto exisitert nicht","")))))))</f>
        <v/>
      </c>
      <c r="O11" s="25" t="str">
        <f t="shared" si="1"/>
        <v/>
      </c>
      <c r="P11" s="25"/>
      <c r="Q11" s="212">
        <v>10</v>
      </c>
      <c r="R11" s="212">
        <v>10.1</v>
      </c>
      <c r="S11" s="25"/>
      <c r="T11" s="25"/>
      <c r="U11" s="25"/>
      <c r="V11" s="25"/>
      <c r="X11" s="25"/>
      <c r="Y11" s="25"/>
    </row>
    <row r="12" spans="1:43">
      <c r="A12">
        <f>IF(OR(F12=Kontoauszug!$H$2,G12=Kontoauszug!$H$2),ROUND(A11+1,0),A11+0.0001)</f>
        <v>1.0004999999999999</v>
      </c>
      <c r="B12" s="16">
        <f>IF(AND(E12&gt;=$B$2,E12&lt;=$B$3,OR(F12=Kontoauszug!$H$2,G12=Kontoauszug!$H$2)),ROUND(B11+1,0),B11+0.0001)</f>
        <v>1.0004999999999999</v>
      </c>
      <c r="C12" s="16">
        <f>IF(H12=Projektabrechnung!$F$2,ROUND(C11+1,0),C11+0.0001)</f>
        <v>6.0000000000000006E-4</v>
      </c>
      <c r="D12" s="17"/>
      <c r="E12" s="18"/>
      <c r="F12" s="19"/>
      <c r="G12" s="20"/>
      <c r="H12" s="195"/>
      <c r="I12" s="21"/>
      <c r="J12" s="22"/>
      <c r="K12" s="98" t="str">
        <f t="shared" si="0"/>
        <v/>
      </c>
      <c r="L12" s="100" t="str">
        <f>IF(F12="","",VLOOKUP(Journal!F12,Kontenplan!$E$9:$F$278,2))</f>
        <v/>
      </c>
      <c r="M12" s="99" t="str">
        <f>IF(G12="","",VLOOKUP(Journal!G12,Kontenplan!$E$9:$F$278,2))</f>
        <v/>
      </c>
      <c r="N12" s="25" t="str">
        <f>IF(AND(G12="",I12="",J12=""),"",IF(AND(I12&gt;0,OR(F12="",G12="")),"Bitte gültige Kontonummer/n eingeben",IF(OR(AND(F12&gt;0,F12&lt;1000),F12&gt;9999),"Sollkontonummer muss vierstellig sein",IF(VLOOKUP(F12,Kontenplan!$E$9:$E$277,1)&lt;&gt;F12,"Sollkonto existiert nicht",IF(D12=0,"Bitte Beleg-Nr. prüfen",IF(OR(AND(G12&gt;0,G12&lt;1000),G12&gt;9999),"Habenkontonummer muss vierstellig sein",IF(VLOOKUP(G12,Kontenplan!$E$9:$F$277,1)&lt;&gt;G12,"Habenkonto exisitert nicht","")))))))</f>
        <v/>
      </c>
      <c r="O12" s="25" t="str">
        <f t="shared" ref="O12:O23" si="2">IF(AND(F12&lt;&gt;"",F12=G12),"Soll- und Habenkontonummern sind identisch",IF(AND(D13&lt;&gt;"",G12&gt;0,F12&gt;0,OR(I12="",I12&lt;=0)),"Bitte Betrag prüfen",IF(AND(J12="",D13&gt;0),"Kein Text ist ok, aber nicht empfehlenswert",IF(OR(AND(E12="",G12&gt;0),AND(E12&lt;MAX(E5:E11)-20,G12&gt;0)),"Datum möglicherweise falsch",""))))</f>
        <v/>
      </c>
      <c r="P12" s="25"/>
      <c r="Q12" s="216">
        <v>11</v>
      </c>
      <c r="R12" s="216">
        <v>11.1</v>
      </c>
      <c r="S12" s="25"/>
      <c r="T12" s="25"/>
      <c r="U12" s="25"/>
      <c r="V12" s="25"/>
      <c r="X12" s="25"/>
      <c r="Y12" s="25"/>
    </row>
    <row r="13" spans="1:43">
      <c r="A13">
        <f>IF(OR(F13=Kontoauszug!$H$2,G13=Kontoauszug!$H$2),ROUND(A12+1,0),A12+0.0001)</f>
        <v>1.0005999999999999</v>
      </c>
      <c r="B13" s="16">
        <f>IF(AND(E13&gt;=$B$2,E13&lt;=$B$3,OR(F13=Kontoauszug!$H$2,G13=Kontoauszug!$H$2)),ROUND(B12+1,0),B12+0.0001)</f>
        <v>1.0005999999999999</v>
      </c>
      <c r="C13" s="16">
        <f>IF(H13=Projektabrechnung!$F$2,ROUND(C12+1,0),C12+0.0001)</f>
        <v>7.000000000000001E-4</v>
      </c>
      <c r="D13" s="17"/>
      <c r="E13" s="18"/>
      <c r="F13" s="19"/>
      <c r="G13" s="20"/>
      <c r="H13" s="195"/>
      <c r="I13" s="21"/>
      <c r="J13" s="22"/>
      <c r="K13" s="98" t="str">
        <f t="shared" si="0"/>
        <v/>
      </c>
      <c r="L13" s="100" t="str">
        <f>IF(F13="","",VLOOKUP(Journal!F13,Kontenplan!$E$9:$F$278,2))</f>
        <v/>
      </c>
      <c r="M13" s="99" t="str">
        <f>IF(G13="","",VLOOKUP(Journal!G13,Kontenplan!$E$9:$F$278,2))</f>
        <v/>
      </c>
      <c r="N13" s="25" t="str">
        <f>IF(AND(G13="",I13="",J13=""),"",IF(AND(I13&gt;0,OR(F13="",G13="")),"Bitte gültige Kontonummer/n eingeben",IF(OR(AND(F13&gt;0,F13&lt;1000),F13&gt;9999),"Sollkontonummer muss vierstellig sein",IF(VLOOKUP(F13,Kontenplan!$E$9:$E$277,1)&lt;&gt;F13,"Sollkonto existiert nicht",IF(D13=0,"Bitte Beleg-Nr. prüfen",IF(OR(AND(G13&gt;0,G13&lt;1000),G13&gt;9999),"Habenkontonummer muss vierstellig sein",IF(VLOOKUP(G13,Kontenplan!$E$9:$F$277,1)&lt;&gt;G13,"Habenkonto exisitert nicht","")))))))</f>
        <v/>
      </c>
      <c r="O13" s="25" t="str">
        <f t="shared" si="2"/>
        <v/>
      </c>
      <c r="P13" s="25"/>
      <c r="Q13" s="216">
        <v>12</v>
      </c>
      <c r="R13" s="216">
        <v>12.1</v>
      </c>
      <c r="S13" s="25"/>
      <c r="T13" s="25"/>
      <c r="U13" s="25"/>
      <c r="V13" s="25"/>
      <c r="X13" s="25"/>
      <c r="Y13" s="25"/>
    </row>
    <row r="14" spans="1:43">
      <c r="A14">
        <f>IF(OR(F14=Kontoauszug!$H$2,G14=Kontoauszug!$H$2),ROUND(A13+1,0),A13+0.0001)</f>
        <v>1.0006999999999999</v>
      </c>
      <c r="B14" s="16">
        <f>IF(AND(E14&gt;=$B$2,E14&lt;=$B$3,OR(F14=Kontoauszug!$H$2,G14=Kontoauszug!$H$2)),ROUND(B13+1,0),B13+0.0001)</f>
        <v>1.0006999999999999</v>
      </c>
      <c r="C14" s="16">
        <f>IF(H14=Projektabrechnung!$F$2,ROUND(C13+1,0),C13+0.0001)</f>
        <v>8.0000000000000015E-4</v>
      </c>
      <c r="D14" s="17"/>
      <c r="E14" s="18"/>
      <c r="F14" s="19"/>
      <c r="G14" s="20"/>
      <c r="H14" s="195"/>
      <c r="I14" s="21"/>
      <c r="J14" s="22"/>
      <c r="K14" s="98" t="str">
        <f t="shared" si="0"/>
        <v/>
      </c>
      <c r="L14" s="100" t="str">
        <f>IF(F14="","",VLOOKUP(Journal!F14,Kontenplan!$E$9:$F$278,2))</f>
        <v/>
      </c>
      <c r="M14" s="99" t="str">
        <f>IF(G14="","",VLOOKUP(Journal!G14,Kontenplan!$E$9:$F$278,2))</f>
        <v/>
      </c>
      <c r="N14" s="25" t="str">
        <f>IF(AND(G14="",I14="",J14=""),"",IF(AND(I14&gt;0,OR(F14="",G14="")),"Bitte gültige Kontonummer/n eingeben",IF(OR(AND(F14&gt;0,F14&lt;1000),F14&gt;9999),"Sollkontonummer muss vierstellig sein",IF(VLOOKUP(F14,Kontenplan!$E$9:$E$277,1)&lt;&gt;F14,"Sollkonto existiert nicht",IF(D14=0,"Bitte Beleg-Nr. prüfen",IF(OR(AND(G14&gt;0,G14&lt;1000),G14&gt;9999),"Habenkontonummer muss vierstellig sein",IF(VLOOKUP(G14,Kontenplan!$E$9:$F$277,1)&lt;&gt;G14,"Habenkonto exisitert nicht","")))))))</f>
        <v/>
      </c>
      <c r="O14" s="25" t="str">
        <f t="shared" si="2"/>
        <v/>
      </c>
      <c r="P14" s="25"/>
      <c r="Q14" s="9">
        <v>13</v>
      </c>
      <c r="R14" s="9">
        <v>13.1</v>
      </c>
      <c r="S14" s="25"/>
      <c r="T14" s="25"/>
      <c r="U14" s="25"/>
      <c r="V14" s="25"/>
      <c r="X14" s="25"/>
      <c r="Y14" s="25"/>
    </row>
    <row r="15" spans="1:43">
      <c r="A15">
        <f>IF(OR(F15=Kontoauszug!$H$2,G15=Kontoauszug!$H$2),ROUND(A14+1,0),A14+0.0001)</f>
        <v>1.0007999999999999</v>
      </c>
      <c r="B15" s="16">
        <f>IF(AND(E15&gt;=$B$2,E15&lt;=$B$3,OR(F15=Kontoauszug!$H$2,G15=Kontoauszug!$H$2)),ROUND(B14+1,0),B14+0.0001)</f>
        <v>1.0007999999999999</v>
      </c>
      <c r="C15" s="16">
        <f>IF(H15=Projektabrechnung!$F$2,ROUND(C14+1,0),C14+0.0001)</f>
        <v>9.0000000000000019E-4</v>
      </c>
      <c r="D15" s="17"/>
      <c r="E15" s="18"/>
      <c r="F15" s="19"/>
      <c r="G15" s="20"/>
      <c r="H15" s="195"/>
      <c r="I15" s="21"/>
      <c r="J15" s="22"/>
      <c r="K15" s="98" t="str">
        <f t="shared" si="0"/>
        <v/>
      </c>
      <c r="L15" s="100" t="str">
        <f>IF(F15="","",VLOOKUP(Journal!F15,Kontenplan!$E$9:$F$278,2))</f>
        <v/>
      </c>
      <c r="M15" s="99" t="str">
        <f>IF(G15="","",VLOOKUP(Journal!G15,Kontenplan!$E$9:$F$278,2))</f>
        <v/>
      </c>
      <c r="N15" s="25" t="str">
        <f>IF(AND(G15="",I15="",J15=""),"",IF(AND(I15&gt;0,OR(F15="",G15="")),"Bitte gültige Kontonummer/n eingeben",IF(OR(AND(F15&gt;0,F15&lt;1000),F15&gt;9999),"Sollkontonummer muss vierstellig sein",IF(VLOOKUP(F15,Kontenplan!$E$9:$E$277,1)&lt;&gt;F15,"Sollkonto existiert nicht",IF(D15=0,"Bitte Beleg-Nr. prüfen",IF(OR(AND(G15&gt;0,G15&lt;1000),G15&gt;9999),"Habenkontonummer muss vierstellig sein",IF(VLOOKUP(G15,Kontenplan!$E$9:$F$277,1)&lt;&gt;G15,"Habenkonto exisitert nicht","")))))))</f>
        <v/>
      </c>
      <c r="O15" s="25" t="str">
        <f t="shared" si="2"/>
        <v/>
      </c>
      <c r="P15" s="25"/>
      <c r="Q15" s="212">
        <v>14</v>
      </c>
      <c r="R15" s="212">
        <v>14.1</v>
      </c>
      <c r="S15" s="25"/>
      <c r="T15" s="25"/>
      <c r="U15" s="25"/>
      <c r="V15" s="25"/>
      <c r="X15" s="25"/>
      <c r="Y15" s="25"/>
    </row>
    <row r="16" spans="1:43">
      <c r="A16">
        <f>IF(OR(F16=Kontoauszug!$H$2,G16=Kontoauszug!$H$2),ROUND(A15+1,0),A15+0.0001)</f>
        <v>1.0008999999999999</v>
      </c>
      <c r="B16" s="16">
        <f>IF(AND(E16&gt;=$B$2,E16&lt;=$B$3,OR(F16=Kontoauszug!$H$2,G16=Kontoauszug!$H$2)),ROUND(B15+1,0),B15+0.0001)</f>
        <v>1.0008999999999999</v>
      </c>
      <c r="C16" s="16">
        <f>IF(H16=Projektabrechnung!$F$2,ROUND(C15+1,0),C15+0.0001)</f>
        <v>1.0000000000000002E-3</v>
      </c>
      <c r="D16" s="218"/>
      <c r="E16" s="18"/>
      <c r="F16" s="219"/>
      <c r="G16" s="220"/>
      <c r="H16" s="221"/>
      <c r="I16" s="21"/>
      <c r="J16" s="217"/>
      <c r="K16" s="98" t="str">
        <f t="shared" si="0"/>
        <v/>
      </c>
      <c r="L16" s="100" t="str">
        <f>IF(F16="","",VLOOKUP(Journal!F16,Kontenplan!$E$9:$F$278,2))</f>
        <v/>
      </c>
      <c r="M16" s="99" t="str">
        <f>IF(G16="","",VLOOKUP(Journal!G16,Kontenplan!$E$9:$F$278,2))</f>
        <v/>
      </c>
      <c r="N16" s="25" t="str">
        <f>IF(AND(G16="",I16="",J16=""),"",IF(AND(I16&gt;0,OR(F16="",G16="")),"Bitte gültige Kontonummer/n eingeben",IF(OR(AND(F16&gt;0,F16&lt;1000),F16&gt;9999),"Sollkontonummer muss vierstellig sein",IF(VLOOKUP(F16,Kontenplan!$E$9:$E$277,1)&lt;&gt;F16,"Sollkonto existiert nicht",IF(D16=0,"Bitte Beleg-Nr. prüfen",IF(OR(AND(G16&gt;0,G16&lt;1000),G16&gt;9999),"Habenkontonummer muss vierstellig sein",IF(VLOOKUP(G16,Kontenplan!$E$9:$F$277,1)&lt;&gt;G16,"Habenkonto exisitert nicht","")))))))</f>
        <v/>
      </c>
      <c r="O16" s="25" t="str">
        <f t="shared" si="2"/>
        <v/>
      </c>
      <c r="P16" s="25"/>
      <c r="Q16" s="216">
        <v>15</v>
      </c>
      <c r="R16" s="216">
        <v>15.1</v>
      </c>
      <c r="S16" s="25"/>
      <c r="T16" s="25"/>
      <c r="U16" s="25"/>
      <c r="V16" s="25"/>
      <c r="X16" s="25"/>
      <c r="Y16" s="25"/>
    </row>
    <row r="17" spans="1:25">
      <c r="A17">
        <f>IF(OR(F17=Kontoauszug!$H$2,G17=Kontoauszug!$H$2),ROUND(A16+1,0),A16+0.0001)</f>
        <v>1.0009999999999999</v>
      </c>
      <c r="B17" s="16">
        <f>IF(AND(E17&gt;=$B$2,E17&lt;=$B$3,OR(F17=Kontoauszug!$H$2,G17=Kontoauszug!$H$2)),ROUND(B16+1,0),B16+0.0001)</f>
        <v>1.0009999999999999</v>
      </c>
      <c r="C17" s="16">
        <f>IF(H17=Projektabrechnung!$F$2,ROUND(C16+1,0),C16+0.0001)</f>
        <v>1.1000000000000003E-3</v>
      </c>
      <c r="D17" s="17"/>
      <c r="E17" s="18"/>
      <c r="F17" s="19"/>
      <c r="G17" s="20"/>
      <c r="H17" s="195"/>
      <c r="I17" s="21"/>
      <c r="J17" s="22"/>
      <c r="K17" s="98" t="str">
        <f t="shared" si="0"/>
        <v/>
      </c>
      <c r="L17" s="100" t="str">
        <f>IF(F17="","",VLOOKUP(Journal!F17,Kontenplan!$E$9:$F$278,2))</f>
        <v/>
      </c>
      <c r="M17" s="99" t="str">
        <f>IF(G17="","",VLOOKUP(Journal!G17,Kontenplan!$E$9:$F$278,2))</f>
        <v/>
      </c>
      <c r="N17" s="25" t="str">
        <f>IF(AND(G17="",I17="",J17=""),"",IF(AND(I17&gt;0,OR(F17="",G17="")),"Bitte gültige Kontonummer/n eingeben",IF(OR(AND(F17&gt;0,F17&lt;1000),F17&gt;9999),"Sollkontonummer muss vierstellig sein",IF(VLOOKUP(F17,Kontenplan!$E$9:$E$277,1)&lt;&gt;F17,"Sollkonto existiert nicht",IF(D17=0,"Bitte Beleg-Nr. prüfen",IF(OR(AND(G17&gt;0,G17&lt;1000),G17&gt;9999),"Habenkontonummer muss vierstellig sein",IF(VLOOKUP(G17,Kontenplan!$E$9:$F$277,1)&lt;&gt;G17,"Habenkonto exisitert nicht","")))))))</f>
        <v/>
      </c>
      <c r="O17" s="25" t="str">
        <f t="shared" si="2"/>
        <v/>
      </c>
      <c r="P17" s="25"/>
      <c r="Q17" s="216">
        <v>16</v>
      </c>
      <c r="R17" s="216">
        <v>16.100000000000001</v>
      </c>
      <c r="S17" s="25"/>
      <c r="T17" s="25"/>
      <c r="U17" s="25"/>
      <c r="V17" s="25"/>
      <c r="X17" s="25"/>
      <c r="Y17" s="25"/>
    </row>
    <row r="18" spans="1:25">
      <c r="A18">
        <f>IF(OR(F18=Kontoauszug!$H$2,G18=Kontoauszug!$H$2),ROUND(A17+1,0),A17+0.0001)</f>
        <v>1.0010999999999999</v>
      </c>
      <c r="B18" s="16">
        <f>IF(AND(E18&gt;=$B$2,E18&lt;=$B$3,OR(F18=Kontoauszug!$H$2,G18=Kontoauszug!$H$2)),ROUND(B17+1,0),B17+0.0001)</f>
        <v>1.0010999999999999</v>
      </c>
      <c r="C18" s="16">
        <f>IF(H18=Projektabrechnung!$F$2,ROUND(C17+1,0),C17+0.0001)</f>
        <v>1.2000000000000003E-3</v>
      </c>
      <c r="D18" s="17"/>
      <c r="E18" s="18"/>
      <c r="F18" s="19"/>
      <c r="G18" s="20"/>
      <c r="H18" s="195"/>
      <c r="I18" s="21"/>
      <c r="J18" s="22"/>
      <c r="K18" s="98" t="str">
        <f t="shared" si="0"/>
        <v/>
      </c>
      <c r="L18" s="100" t="str">
        <f>IF(F18="","",VLOOKUP(Journal!F18,Kontenplan!$E$9:$F$278,2))</f>
        <v/>
      </c>
      <c r="M18" s="99" t="str">
        <f>IF(G18="","",VLOOKUP(Journal!G18,Kontenplan!$E$9:$F$278,2))</f>
        <v/>
      </c>
      <c r="N18" s="25" t="str">
        <f>IF(AND(G18="",I18="",J18=""),"",IF(AND(I18&gt;0,OR(F18="",G18="")),"Bitte gültige Kontonummer/n eingeben",IF(OR(AND(F18&gt;0,F18&lt;1000),F18&gt;9999),"Sollkontonummer muss vierstellig sein",IF(VLOOKUP(F18,Kontenplan!$E$9:$E$277,1)&lt;&gt;F18,"Sollkonto existiert nicht",IF(D18=0,"Bitte Beleg-Nr. prüfen",IF(OR(AND(G18&gt;0,G18&lt;1000),G18&gt;9999),"Habenkontonummer muss vierstellig sein",IF(VLOOKUP(G18,Kontenplan!$E$9:$F$277,1)&lt;&gt;G18,"Habenkonto exisitert nicht","")))))))</f>
        <v/>
      </c>
      <c r="O18" s="25" t="str">
        <f t="shared" si="2"/>
        <v/>
      </c>
      <c r="P18" s="25"/>
      <c r="Q18" s="9">
        <v>17</v>
      </c>
      <c r="R18" s="9">
        <v>17.100000000000001</v>
      </c>
      <c r="S18" s="25"/>
      <c r="T18" s="25"/>
      <c r="U18" s="25"/>
      <c r="V18" s="25"/>
      <c r="X18" s="25"/>
      <c r="Y18" s="25"/>
    </row>
    <row r="19" spans="1:25">
      <c r="A19">
        <f>IF(OR(F19=Kontoauszug!$H$2,G19=Kontoauszug!$H$2),ROUND(A18+1,0),A18+0.0001)</f>
        <v>1.0011999999999999</v>
      </c>
      <c r="B19" s="16">
        <f>IF(AND(E19&gt;=$B$2,E19&lt;=$B$3,OR(F19=Kontoauszug!$H$2,G19=Kontoauszug!$H$2)),ROUND(B18+1,0),B18+0.0001)</f>
        <v>1.0011999999999999</v>
      </c>
      <c r="C19" s="16">
        <f>IF(H19=Projektabrechnung!$F$2,ROUND(C18+1,0),C18+0.0001)</f>
        <v>1.3000000000000004E-3</v>
      </c>
      <c r="D19" s="17"/>
      <c r="E19" s="18"/>
      <c r="F19" s="219"/>
      <c r="G19" s="220"/>
      <c r="H19" s="221"/>
      <c r="I19" s="21"/>
      <c r="J19" s="217"/>
      <c r="K19" s="98" t="str">
        <f t="shared" si="0"/>
        <v/>
      </c>
      <c r="L19" s="100" t="str">
        <f>IF(F19="","",VLOOKUP(Journal!F19,Kontenplan!$E$9:$F$278,2))</f>
        <v/>
      </c>
      <c r="M19" s="99" t="str">
        <f>IF(G19="","",VLOOKUP(Journal!G19,Kontenplan!$E$9:$F$278,2))</f>
        <v/>
      </c>
      <c r="N19" s="25" t="str">
        <f>IF(AND(G19="",I19="",J19=""),"",IF(AND(I19&gt;0,OR(F19="",G19="")),"Bitte gültige Kontonummer/n eingeben",IF(OR(AND(F19&gt;0,F19&lt;1000),F19&gt;9999),"Sollkontonummer muss vierstellig sein",IF(VLOOKUP(F19,Kontenplan!$E$9:$E$277,1)&lt;&gt;F19,"Sollkonto existiert nicht",IF(D19=0,"Bitte Beleg-Nr. prüfen",IF(OR(AND(G19&gt;0,G19&lt;1000),G19&gt;9999),"Habenkontonummer muss vierstellig sein",IF(VLOOKUP(G19,Kontenplan!$E$9:$F$277,1)&lt;&gt;G19,"Habenkonto exisitert nicht","")))))))</f>
        <v/>
      </c>
      <c r="O19" s="25" t="str">
        <f t="shared" si="2"/>
        <v/>
      </c>
      <c r="P19" s="25"/>
      <c r="Q19" s="212">
        <v>18</v>
      </c>
      <c r="R19" s="212">
        <v>18.100000000000001</v>
      </c>
      <c r="S19" s="25"/>
      <c r="T19" s="25"/>
      <c r="U19" s="25"/>
      <c r="V19" s="25"/>
      <c r="X19" s="25"/>
      <c r="Y19" s="25"/>
    </row>
    <row r="20" spans="1:25">
      <c r="A20">
        <f>IF(OR(F20=Kontoauszug!$H$2,G20=Kontoauszug!$H$2),ROUND(A19+1,0),A19+0.0001)</f>
        <v>1.0012999999999999</v>
      </c>
      <c r="B20" s="16">
        <f>IF(AND(E20&gt;=$B$2,E20&lt;=$B$3,OR(F20=Kontoauszug!$H$2,G20=Kontoauszug!$H$2)),ROUND(B19+1,0),B19+0.0001)</f>
        <v>1.0012999999999999</v>
      </c>
      <c r="C20" s="16">
        <f>IF(H20=Projektabrechnung!$F$2,ROUND(C19+1,0),C19+0.0001)</f>
        <v>1.4000000000000004E-3</v>
      </c>
      <c r="D20" s="17"/>
      <c r="E20" s="18"/>
      <c r="F20" s="19"/>
      <c r="G20" s="20"/>
      <c r="H20" s="195"/>
      <c r="I20" s="21"/>
      <c r="J20" s="22"/>
      <c r="K20" s="98" t="str">
        <f t="shared" si="0"/>
        <v/>
      </c>
      <c r="L20" s="100" t="str">
        <f>IF(F20="","",VLOOKUP(Journal!F20,Kontenplan!$E$9:$F$278,2))</f>
        <v/>
      </c>
      <c r="M20" s="99" t="str">
        <f>IF(G20="","",VLOOKUP(Journal!G20,Kontenplan!$E$9:$F$278,2))</f>
        <v/>
      </c>
      <c r="N20" s="25" t="str">
        <f>IF(AND(G20="",I20="",J20=""),"",IF(AND(I20&gt;0,OR(F20="",G20="")),"Bitte gültige Kontonummer/n eingeben",IF(OR(AND(F20&gt;0,F20&lt;1000),F20&gt;9999),"Sollkontonummer muss vierstellig sein",IF(VLOOKUP(F20,Kontenplan!$E$9:$E$277,1)&lt;&gt;F20,"Sollkonto existiert nicht",IF(D20=0,"Bitte Beleg-Nr. prüfen",IF(OR(AND(G20&gt;0,G20&lt;1000),G20&gt;9999),"Habenkontonummer muss vierstellig sein",IF(VLOOKUP(G20,Kontenplan!$E$9:$F$277,1)&lt;&gt;G20,"Habenkonto exisitert nicht","")))))))</f>
        <v/>
      </c>
      <c r="O20" s="25" t="str">
        <f t="shared" si="2"/>
        <v/>
      </c>
      <c r="P20" s="25"/>
      <c r="Q20" s="216">
        <v>19</v>
      </c>
      <c r="R20" s="216">
        <v>19.100000000000001</v>
      </c>
      <c r="S20" s="25"/>
      <c r="T20" s="25"/>
      <c r="U20" s="25"/>
      <c r="V20" s="25"/>
      <c r="X20" s="25"/>
      <c r="Y20" s="25"/>
    </row>
    <row r="21" spans="1:25">
      <c r="A21">
        <f>IF(OR(F21=Kontoauszug!$H$2,G21=Kontoauszug!$H$2),ROUND(A20+1,0),A20+0.0001)</f>
        <v>1.0013999999999998</v>
      </c>
      <c r="B21" s="16">
        <f>IF(AND(E21&gt;=$B$2,E21&lt;=$B$3,OR(F21=Kontoauszug!$H$2,G21=Kontoauszug!$H$2)),ROUND(B20+1,0),B20+0.0001)</f>
        <v>1.0013999999999998</v>
      </c>
      <c r="C21" s="16">
        <f>IF(H21=Projektabrechnung!$F$2,ROUND(C20+1,0),C20+0.0001)</f>
        <v>1.5000000000000005E-3</v>
      </c>
      <c r="D21" s="17"/>
      <c r="E21" s="18"/>
      <c r="F21" s="19"/>
      <c r="G21" s="20"/>
      <c r="H21" s="195"/>
      <c r="I21" s="21"/>
      <c r="J21" s="22"/>
      <c r="K21" s="98" t="str">
        <f t="shared" si="0"/>
        <v/>
      </c>
      <c r="L21" s="100" t="str">
        <f>IF(F21="","",VLOOKUP(Journal!F21,Kontenplan!$E$9:$F$278,2))</f>
        <v/>
      </c>
      <c r="M21" s="99" t="str">
        <f>IF(G21="","",VLOOKUP(Journal!G21,Kontenplan!$E$9:$F$278,2))</f>
        <v/>
      </c>
      <c r="N21" s="25" t="str">
        <f>IF(AND(G21="",I21="",J21=""),"",IF(AND(I21&gt;0,OR(F21="",G21="")),"Bitte gültige Kontonummer/n eingeben",IF(OR(AND(F21&gt;0,F21&lt;1000),F21&gt;9999),"Sollkontonummer muss vierstellig sein",IF(VLOOKUP(F21,Kontenplan!$E$9:$E$277,1)&lt;&gt;F21,"Sollkonto existiert nicht",IF(D21=0,"Bitte Beleg-Nr. prüfen",IF(OR(AND(G21&gt;0,G21&lt;1000),G21&gt;9999),"Habenkontonummer muss vierstellig sein",IF(VLOOKUP(G21,Kontenplan!$E$9:$F$277,1)&lt;&gt;G21,"Habenkonto exisitert nicht","")))))))</f>
        <v/>
      </c>
      <c r="O21" s="25" t="str">
        <f t="shared" si="2"/>
        <v/>
      </c>
      <c r="P21" s="25"/>
      <c r="Q21" s="216">
        <v>20</v>
      </c>
      <c r="R21" s="216">
        <v>20.100000000000001</v>
      </c>
      <c r="S21" s="25"/>
      <c r="T21" s="25"/>
      <c r="U21" s="25"/>
      <c r="V21" s="25"/>
      <c r="X21" s="25"/>
      <c r="Y21" s="25"/>
    </row>
    <row r="22" spans="1:25">
      <c r="A22">
        <f>IF(OR(F22=Kontoauszug!$H$2,G22=Kontoauszug!$H$2),ROUND(A21+1,0),A21+0.0001)</f>
        <v>1.0014999999999998</v>
      </c>
      <c r="B22" s="16">
        <f>IF(AND(E22&gt;=$B$2,E22&lt;=$B$3,OR(F22=Kontoauszug!$H$2,G22=Kontoauszug!$H$2)),ROUND(B21+1,0),B21+0.0001)</f>
        <v>1.0014999999999998</v>
      </c>
      <c r="C22" s="16">
        <f>IF(H22=Projektabrechnung!$F$2,ROUND(C21+1,0),C21+0.0001)</f>
        <v>1.6000000000000005E-3</v>
      </c>
      <c r="D22" s="17"/>
      <c r="E22" s="18"/>
      <c r="F22" s="19"/>
      <c r="G22" s="20"/>
      <c r="H22" s="195"/>
      <c r="I22" s="21"/>
      <c r="J22" s="22"/>
      <c r="K22" s="98" t="str">
        <f t="shared" si="0"/>
        <v/>
      </c>
      <c r="L22" s="100" t="str">
        <f>IF(F22="","",VLOOKUP(Journal!F22,Kontenplan!$E$9:$F$278,2))</f>
        <v/>
      </c>
      <c r="M22" s="99" t="str">
        <f>IF(G22="","",VLOOKUP(Journal!G22,Kontenplan!$E$9:$F$278,2))</f>
        <v/>
      </c>
      <c r="N22" s="25" t="str">
        <f>IF(AND(G22="",I22="",J22=""),"",IF(AND(I22&gt;0,OR(F22="",G22="")),"Bitte gültige Kontonummer/n eingeben",IF(OR(AND(F22&gt;0,F22&lt;1000),F22&gt;9999),"Sollkontonummer muss vierstellig sein",IF(VLOOKUP(F22,Kontenplan!$E$9:$E$277,1)&lt;&gt;F22,"Sollkonto existiert nicht",IF(D22=0,"Bitte Beleg-Nr. prüfen",IF(OR(AND(G22&gt;0,G22&lt;1000),G22&gt;9999),"Habenkontonummer muss vierstellig sein",IF(VLOOKUP(G22,Kontenplan!$E$9:$F$277,1)&lt;&gt;G22,"Habenkonto exisitert nicht","")))))))</f>
        <v/>
      </c>
      <c r="O22" s="25" t="str">
        <f t="shared" si="2"/>
        <v/>
      </c>
      <c r="P22" s="25"/>
      <c r="Q22" s="9">
        <v>21</v>
      </c>
      <c r="R22" s="9">
        <v>21.1</v>
      </c>
      <c r="S22" s="25"/>
      <c r="T22" s="25"/>
      <c r="U22" s="25"/>
      <c r="V22" s="25"/>
      <c r="X22" s="25"/>
      <c r="Y22" s="25"/>
    </row>
    <row r="23" spans="1:25">
      <c r="A23">
        <f>IF(OR(F23=Kontoauszug!$H$2,G23=Kontoauszug!$H$2),ROUND(A22+1,0),A22+0.0001)</f>
        <v>1.0015999999999998</v>
      </c>
      <c r="B23" s="16">
        <f>IF(AND(E23&gt;=$B$2,E23&lt;=$B$3,OR(F23=Kontoauszug!$H$2,G23=Kontoauszug!$H$2)),ROUND(B22+1,0),B22+0.0001)</f>
        <v>1.0015999999999998</v>
      </c>
      <c r="C23" s="16">
        <f>IF(H23=Projektabrechnung!$F$2,ROUND(C22+1,0),C22+0.0001)</f>
        <v>1.7000000000000006E-3</v>
      </c>
      <c r="D23" s="17"/>
      <c r="E23" s="18"/>
      <c r="F23" s="19"/>
      <c r="G23" s="20"/>
      <c r="H23" s="195"/>
      <c r="I23" s="21"/>
      <c r="J23" s="22"/>
      <c r="K23" s="98" t="str">
        <f t="shared" si="0"/>
        <v/>
      </c>
      <c r="L23" s="100" t="str">
        <f>IF(F23="","",VLOOKUP(Journal!F23,Kontenplan!$E$9:$F$278,2))</f>
        <v/>
      </c>
      <c r="M23" s="99" t="str">
        <f>IF(G23="","",VLOOKUP(Journal!G23,Kontenplan!$E$9:$F$278,2))</f>
        <v/>
      </c>
      <c r="N23" s="25" t="str">
        <f>IF(AND(G23="",I23="",J23=""),"",IF(AND(I23&gt;0,OR(F23="",G23="")),"Bitte gültige Kontonummer/n eingeben",IF(OR(AND(F23&gt;0,F23&lt;1000),F23&gt;9999),"Sollkontonummer muss vierstellig sein",IF(VLOOKUP(F23,Kontenplan!$E$9:$E$277,1)&lt;&gt;F23,"Sollkonto existiert nicht",IF(D23=0,"Bitte Beleg-Nr. prüfen",IF(OR(AND(G23&gt;0,G23&lt;1000),G23&gt;9999),"Habenkontonummer muss vierstellig sein",IF(VLOOKUP(G23,Kontenplan!$E$9:$F$277,1)&lt;&gt;G23,"Habenkonto exisitert nicht","")))))))</f>
        <v/>
      </c>
      <c r="O23" s="25" t="str">
        <f t="shared" si="2"/>
        <v/>
      </c>
      <c r="P23" s="25"/>
      <c r="Q23" s="212">
        <v>22</v>
      </c>
      <c r="R23" s="212">
        <v>22.1</v>
      </c>
      <c r="S23" s="25"/>
      <c r="T23" s="25"/>
      <c r="U23" s="25"/>
      <c r="V23" s="25"/>
      <c r="X23" s="25"/>
      <c r="Y23" s="25"/>
    </row>
    <row r="24" spans="1:25">
      <c r="A24">
        <f>IF(OR(F24=Kontoauszug!$H$2,G24=Kontoauszug!$H$2),ROUND(A23+1,0),A23+0.0001)</f>
        <v>1.0016999999999998</v>
      </c>
      <c r="B24" s="16">
        <f>IF(AND(E24&gt;=$B$2,E24&lt;=$B$3,OR(F24=Kontoauszug!$H$2,G24=Kontoauszug!$H$2)),ROUND(B23+1,0),B23+0.0001)</f>
        <v>1.0016999999999998</v>
      </c>
      <c r="C24" s="16">
        <f>IF(H24=Projektabrechnung!$F$2,ROUND(C23+1,0),C23+0.0001)</f>
        <v>1.8000000000000006E-3</v>
      </c>
      <c r="D24" s="17"/>
      <c r="E24" s="18"/>
      <c r="F24" s="19"/>
      <c r="G24" s="20"/>
      <c r="H24" s="195"/>
      <c r="I24" s="21"/>
      <c r="J24" s="22"/>
      <c r="K24" s="98" t="str">
        <f t="shared" si="0"/>
        <v/>
      </c>
      <c r="L24" s="100" t="str">
        <f>IF(F24="","",VLOOKUP(Journal!F24,Kontenplan!$E$9:$F$278,2))</f>
        <v/>
      </c>
      <c r="M24" s="99" t="str">
        <f>IF(G24="","",VLOOKUP(Journal!G24,Kontenplan!$E$9:$F$278,2))</f>
        <v/>
      </c>
      <c r="N24" s="25" t="str">
        <f>IF(AND(G24="",I24="",J24=""),"",IF(AND(I24&gt;0,OR(F24="",G24="")),"Bitte gültige Kontonummer/n eingeben",IF(OR(AND(F24&gt;0,F24&lt;1000),F24&gt;9999),"Sollkontonummer muss vierstellig sein",IF(VLOOKUP(F24,Kontenplan!$E$9:$E$277,1)&lt;&gt;F24,"Sollkonto existiert nicht",IF(D24=0,"Bitte Beleg-Nr. prüfen",IF(OR(AND(G24&gt;0,G24&lt;1000),G24&gt;9999),"Habenkontonummer muss vierstellig sein",IF(VLOOKUP(G24,Kontenplan!$E$9:$F$277,1)&lt;&gt;G24,"Habenkonto exisitert nicht","")))))))</f>
        <v/>
      </c>
      <c r="O24" s="25" t="str">
        <f t="shared" si="1"/>
        <v/>
      </c>
      <c r="P24" s="25"/>
      <c r="Q24" s="216">
        <v>23</v>
      </c>
      <c r="R24" s="216">
        <v>23.1</v>
      </c>
      <c r="S24" s="25"/>
      <c r="T24" s="25"/>
      <c r="U24" s="25"/>
      <c r="V24" s="25"/>
      <c r="X24" s="25"/>
      <c r="Y24" s="25"/>
    </row>
    <row r="25" spans="1:25">
      <c r="A25">
        <f>IF(OR(F25=Kontoauszug!$H$2,G25=Kontoauszug!$H$2),ROUND(A24+1,0),A24+0.0001)</f>
        <v>1.0017999999999998</v>
      </c>
      <c r="B25" s="16">
        <f>IF(AND(E25&gt;=$B$2,E25&lt;=$B$3,OR(F25=Kontoauszug!$H$2,G25=Kontoauszug!$H$2)),ROUND(B24+1,0),B24+0.0001)</f>
        <v>1.0017999999999998</v>
      </c>
      <c r="C25" s="16">
        <f>IF(H25=Projektabrechnung!$F$2,ROUND(C24+1,0),C24+0.0001)</f>
        <v>1.9000000000000006E-3</v>
      </c>
      <c r="D25" s="17"/>
      <c r="E25" s="18"/>
      <c r="F25" s="19"/>
      <c r="G25" s="20"/>
      <c r="H25" s="195"/>
      <c r="I25" s="21"/>
      <c r="J25" s="22"/>
      <c r="K25" s="98" t="str">
        <f t="shared" si="0"/>
        <v/>
      </c>
      <c r="L25" s="100" t="str">
        <f>IF(F25="","",VLOOKUP(Journal!F25,Kontenplan!$E$9:$F$278,2))</f>
        <v/>
      </c>
      <c r="M25" s="99" t="str">
        <f>IF(G25="","",VLOOKUP(Journal!G25,Kontenplan!$E$9:$F$278,2))</f>
        <v/>
      </c>
      <c r="N25" s="25" t="str">
        <f>IF(AND(G25="",I25="",J25=""),"",IF(AND(I25&gt;0,OR(F25="",G25="")),"Bitte gültige Kontonummer/n eingeben",IF(OR(AND(F25&gt;0,F25&lt;1000),F25&gt;9999),"Sollkontonummer muss vierstellig sein",IF(VLOOKUP(F25,Kontenplan!$E$9:$E$277,1)&lt;&gt;F25,"Sollkonto existiert nicht",IF(D25=0,"Bitte Beleg-Nr. prüfen",IF(OR(AND(G25&gt;0,G25&lt;1000),G25&gt;9999),"Habenkontonummer muss vierstellig sein",IF(VLOOKUP(G25,Kontenplan!$E$9:$F$277,1)&lt;&gt;G25,"Habenkonto exisitert nicht","")))))))</f>
        <v/>
      </c>
      <c r="O25" s="25" t="str">
        <f t="shared" si="1"/>
        <v/>
      </c>
      <c r="P25" s="25"/>
      <c r="Q25" s="216">
        <v>24</v>
      </c>
      <c r="R25" s="216">
        <v>24.1</v>
      </c>
      <c r="S25" s="25"/>
      <c r="T25" s="25"/>
      <c r="U25" s="25"/>
      <c r="V25" s="25"/>
      <c r="X25" s="25"/>
      <c r="Y25" s="25"/>
    </row>
    <row r="26" spans="1:25">
      <c r="A26">
        <f>IF(OR(F26=Kontoauszug!$H$2,G26=Kontoauszug!$H$2),ROUND(A25+1,0),A25+0.0001)</f>
        <v>1.0018999999999998</v>
      </c>
      <c r="B26" s="16">
        <f>IF(AND(E26&gt;=$B$2,E26&lt;=$B$3,OR(F26=Kontoauszug!$H$2,G26=Kontoauszug!$H$2)),ROUND(B25+1,0),B25+0.0001)</f>
        <v>1.0018999999999998</v>
      </c>
      <c r="C26" s="16">
        <f>IF(H26=Projektabrechnung!$F$2,ROUND(C25+1,0),C25+0.0001)</f>
        <v>2.0000000000000005E-3</v>
      </c>
      <c r="D26" s="17"/>
      <c r="E26" s="18"/>
      <c r="F26" s="19"/>
      <c r="G26" s="20"/>
      <c r="H26" s="195"/>
      <c r="I26" s="21"/>
      <c r="J26" s="22"/>
      <c r="K26" s="98" t="str">
        <f t="shared" si="0"/>
        <v/>
      </c>
      <c r="L26" s="100" t="str">
        <f>IF(F26="","",VLOOKUP(Journal!F26,Kontenplan!$E$9:$F$278,2))</f>
        <v/>
      </c>
      <c r="M26" s="99" t="str">
        <f>IF(G26="","",VLOOKUP(Journal!G26,Kontenplan!$E$9:$F$278,2))</f>
        <v/>
      </c>
      <c r="N26" s="25" t="str">
        <f>IF(AND(G26="",I26="",J26=""),"",IF(AND(I26&gt;0,OR(F26="",G26="")),"Bitte gültige Kontonummer/n eingeben",IF(OR(AND(F26&gt;0,F26&lt;1000),F26&gt;9999),"Sollkontonummer muss vierstellig sein",IF(VLOOKUP(F26,Kontenplan!$E$9:$E$277,1)&lt;&gt;F26,"Sollkonto existiert nicht",IF(D26=0,"Bitte Beleg-Nr. prüfen",IF(OR(AND(G26&gt;0,G26&lt;1000),G26&gt;9999),"Habenkontonummer muss vierstellig sein",IF(VLOOKUP(G26,Kontenplan!$E$9:$F$277,1)&lt;&gt;G26,"Habenkonto exisitert nicht","")))))))</f>
        <v/>
      </c>
      <c r="O26" s="25" t="str">
        <f t="shared" si="1"/>
        <v/>
      </c>
      <c r="P26" s="25"/>
      <c r="Q26" s="9">
        <v>25</v>
      </c>
      <c r="R26" s="9">
        <v>25.1</v>
      </c>
      <c r="S26" s="25"/>
      <c r="T26" s="25"/>
      <c r="U26" s="25"/>
      <c r="V26" s="25"/>
      <c r="X26" s="25"/>
      <c r="Y26" s="25"/>
    </row>
    <row r="27" spans="1:25">
      <c r="A27">
        <f>IF(OR(F27=Kontoauszug!$H$2,G27=Kontoauszug!$H$2),ROUND(A26+1,0),A26+0.0001)</f>
        <v>1.0019999999999998</v>
      </c>
      <c r="B27" s="16">
        <f>IF(AND(E27&gt;=$B$2,E27&lt;=$B$3,OR(F27=Kontoauszug!$H$2,G27=Kontoauszug!$H$2)),ROUND(B26+1,0),B26+0.0001)</f>
        <v>1.0019999999999998</v>
      </c>
      <c r="C27" s="16">
        <f>IF(H27=Projektabrechnung!$F$2,ROUND(C26+1,0),C26+0.0001)</f>
        <v>2.1000000000000003E-3</v>
      </c>
      <c r="D27" s="17"/>
      <c r="E27" s="18"/>
      <c r="F27" s="19"/>
      <c r="G27" s="20"/>
      <c r="H27" s="195"/>
      <c r="I27" s="21"/>
      <c r="J27" s="22"/>
      <c r="K27" s="98" t="str">
        <f t="shared" si="0"/>
        <v/>
      </c>
      <c r="L27" s="100" t="str">
        <f>IF(F27="","",VLOOKUP(Journal!F27,Kontenplan!$E$9:$F$278,2))</f>
        <v/>
      </c>
      <c r="M27" s="99" t="str">
        <f>IF(G27="","",VLOOKUP(Journal!G27,Kontenplan!$E$9:$F$278,2))</f>
        <v/>
      </c>
      <c r="N27" s="25" t="str">
        <f>IF(AND(G27="",I27="",J27=""),"",IF(AND(I27&gt;0,OR(F27="",G27="")),"Bitte gültige Kontonummer/n eingeben",IF(OR(AND(F27&gt;0,F27&lt;1000),F27&gt;9999),"Sollkontonummer muss vierstellig sein",IF(VLOOKUP(F27,Kontenplan!$E$9:$E$277,1)&lt;&gt;F27,"Sollkonto existiert nicht",IF(D27=0,"Bitte Beleg-Nr. prüfen",IF(OR(AND(G27&gt;0,G27&lt;1000),G27&gt;9999),"Habenkontonummer muss vierstellig sein",IF(VLOOKUP(G27,Kontenplan!$E$9:$F$277,1)&lt;&gt;G27,"Habenkonto exisitert nicht","")))))))</f>
        <v/>
      </c>
      <c r="O27" s="25" t="str">
        <f t="shared" si="1"/>
        <v/>
      </c>
      <c r="P27" s="25"/>
      <c r="Q27" s="212">
        <v>26</v>
      </c>
      <c r="R27" s="212">
        <v>26.1</v>
      </c>
      <c r="S27" s="25"/>
      <c r="T27" s="25"/>
      <c r="U27" s="25"/>
      <c r="V27" s="25"/>
      <c r="X27" s="25"/>
      <c r="Y27" s="25"/>
    </row>
    <row r="28" spans="1:25">
      <c r="A28">
        <f>IF(OR(F28=Kontoauszug!$H$2,G28=Kontoauszug!$H$2),ROUND(A27+1,0),A27+0.0001)</f>
        <v>1.0020999999999998</v>
      </c>
      <c r="B28" s="16">
        <f>IF(AND(E28&gt;=$B$2,E28&lt;=$B$3,OR(F28=Kontoauszug!$H$2,G28=Kontoauszug!$H$2)),ROUND(B27+1,0),B27+0.0001)</f>
        <v>1.0020999999999998</v>
      </c>
      <c r="C28" s="16">
        <f>IF(H28=Projektabrechnung!$F$2,ROUND(C27+1,0),C27+0.0001)</f>
        <v>2.2000000000000001E-3</v>
      </c>
      <c r="D28" s="17"/>
      <c r="E28" s="18"/>
      <c r="F28" s="19"/>
      <c r="G28" s="20"/>
      <c r="H28" s="195"/>
      <c r="I28" s="21"/>
      <c r="J28" s="22"/>
      <c r="K28" s="98" t="str">
        <f t="shared" si="0"/>
        <v/>
      </c>
      <c r="L28" s="100" t="str">
        <f>IF(F28="","",VLOOKUP(Journal!F28,Kontenplan!$E$9:$F$278,2))</f>
        <v/>
      </c>
      <c r="M28" s="99" t="str">
        <f>IF(G28="","",VLOOKUP(Journal!G28,Kontenplan!$E$9:$F$278,2))</f>
        <v/>
      </c>
      <c r="N28" s="25" t="str">
        <f>IF(AND(G28="",I28="",J28=""),"",IF(AND(I28&gt;0,OR(F28="",G28="")),"Bitte gültige Kontonummer/n eingeben",IF(OR(AND(F28&gt;0,F28&lt;1000),F28&gt;9999),"Sollkontonummer muss vierstellig sein",IF(VLOOKUP(F28,Kontenplan!$E$9:$E$277,1)&lt;&gt;F28,"Sollkonto existiert nicht",IF(D28=0,"Bitte Beleg-Nr. prüfen",IF(OR(AND(G28&gt;0,G28&lt;1000),G28&gt;9999),"Habenkontonummer muss vierstellig sein",IF(VLOOKUP(G28,Kontenplan!$E$9:$F$277,1)&lt;&gt;G28,"Habenkonto exisitert nicht","")))))))</f>
        <v/>
      </c>
      <c r="O28" s="25" t="str">
        <f t="shared" si="1"/>
        <v/>
      </c>
      <c r="P28" s="25"/>
      <c r="Q28" s="216">
        <v>27</v>
      </c>
      <c r="R28" s="216">
        <v>27.1</v>
      </c>
      <c r="S28" s="25"/>
      <c r="T28" s="25"/>
      <c r="U28" s="25"/>
      <c r="V28" s="25"/>
      <c r="X28" s="25"/>
      <c r="Y28" s="25"/>
    </row>
    <row r="29" spans="1:25">
      <c r="A29">
        <f>IF(OR(F29=Kontoauszug!$H$2,G29=Kontoauszug!$H$2),ROUND(A28+1,0),A28+0.0001)</f>
        <v>1.0021999999999998</v>
      </c>
      <c r="B29" s="16">
        <f>IF(AND(E29&gt;=$B$2,E29&lt;=$B$3,OR(F29=Kontoauszug!$H$2,G29=Kontoauszug!$H$2)),ROUND(B28+1,0),B28+0.0001)</f>
        <v>1.0021999999999998</v>
      </c>
      <c r="C29" s="16">
        <f>IF(H29=Projektabrechnung!$F$2,ROUND(C28+1,0),C28+0.0001)</f>
        <v>2.3E-3</v>
      </c>
      <c r="D29" s="17"/>
      <c r="E29" s="18"/>
      <c r="F29" s="19"/>
      <c r="G29" s="20"/>
      <c r="H29" s="195"/>
      <c r="I29" s="21"/>
      <c r="J29" s="22"/>
      <c r="K29" s="98" t="str">
        <f t="shared" si="0"/>
        <v/>
      </c>
      <c r="L29" s="100" t="str">
        <f>IF(F29="","",VLOOKUP(Journal!F29,Kontenplan!$E$9:$F$278,2))</f>
        <v/>
      </c>
      <c r="M29" s="99" t="str">
        <f>IF(G29="","",VLOOKUP(Journal!G29,Kontenplan!$E$9:$F$278,2))</f>
        <v/>
      </c>
      <c r="N29" s="25" t="str">
        <f>IF(AND(G29="",I29="",J29=""),"",IF(AND(I29&gt;0,OR(F29="",G29="")),"Bitte gültige Kontonummer/n eingeben",IF(OR(AND(F29&gt;0,F29&lt;1000),F29&gt;9999),"Sollkontonummer muss vierstellig sein",IF(VLOOKUP(F29,Kontenplan!$E$9:$E$277,1)&lt;&gt;F29,"Sollkonto existiert nicht",IF(D29=0,"Bitte Beleg-Nr. prüfen",IF(OR(AND(G29&gt;0,G29&lt;1000),G29&gt;9999),"Habenkontonummer muss vierstellig sein",IF(VLOOKUP(G29,Kontenplan!$E$9:$F$277,1)&lt;&gt;G29,"Habenkonto exisitert nicht","")))))))</f>
        <v/>
      </c>
      <c r="O29" s="25" t="str">
        <f t="shared" si="1"/>
        <v/>
      </c>
      <c r="P29" s="25"/>
      <c r="Q29" s="216">
        <v>28</v>
      </c>
      <c r="R29" s="216">
        <v>28.1</v>
      </c>
      <c r="S29" s="25"/>
      <c r="T29" s="25"/>
      <c r="U29" s="25"/>
      <c r="V29" s="25"/>
      <c r="X29" s="25"/>
      <c r="Y29" s="25"/>
    </row>
    <row r="30" spans="1:25">
      <c r="A30">
        <f>IF(OR(F30=Kontoauszug!$H$2,G30=Kontoauszug!$H$2),ROUND(A29+1,0),A29+0.0001)</f>
        <v>1.0022999999999997</v>
      </c>
      <c r="B30" s="16">
        <f>IF(AND(E30&gt;=$B$2,E30&lt;=$B$3,OR(F30=Kontoauszug!$H$2,G30=Kontoauszug!$H$2)),ROUND(B29+1,0),B29+0.0001)</f>
        <v>1.0022999999999997</v>
      </c>
      <c r="C30" s="16">
        <f>IF(H30=Projektabrechnung!$F$2,ROUND(C29+1,0),C29+0.0001)</f>
        <v>2.3999999999999998E-3</v>
      </c>
      <c r="D30" s="17"/>
      <c r="E30" s="18"/>
      <c r="F30" s="19"/>
      <c r="G30" s="20"/>
      <c r="H30" s="195"/>
      <c r="I30" s="21"/>
      <c r="J30" s="22"/>
      <c r="K30" s="98" t="str">
        <f t="shared" si="0"/>
        <v/>
      </c>
      <c r="L30" s="100" t="str">
        <f>IF(F30="","",VLOOKUP(Journal!F30,Kontenplan!$E$9:$F$278,2))</f>
        <v/>
      </c>
      <c r="M30" s="99" t="str">
        <f>IF(G30="","",VLOOKUP(Journal!G30,Kontenplan!$E$9:$F$278,2))</f>
        <v/>
      </c>
      <c r="N30" s="25" t="str">
        <f>IF(AND(G30="",I30="",J30=""),"",IF(AND(I30&gt;0,OR(F30="",G30="")),"Bitte gültige Kontonummer/n eingeben",IF(OR(AND(F30&gt;0,F30&lt;1000),F30&gt;9999),"Sollkontonummer muss vierstellig sein",IF(VLOOKUP(F30,Kontenplan!$E$9:$E$277,1)&lt;&gt;F30,"Sollkonto existiert nicht",IF(D30=0,"Bitte Beleg-Nr. prüfen",IF(OR(AND(G30&gt;0,G30&lt;1000),G30&gt;9999),"Habenkontonummer muss vierstellig sein",IF(VLOOKUP(G30,Kontenplan!$E$9:$F$277,1)&lt;&gt;G30,"Habenkonto exisitert nicht","")))))))</f>
        <v/>
      </c>
      <c r="O30" s="25" t="str">
        <f t="shared" si="1"/>
        <v/>
      </c>
      <c r="P30" s="25"/>
      <c r="Q30" s="9">
        <v>29</v>
      </c>
      <c r="R30" s="9">
        <v>29.1</v>
      </c>
      <c r="S30" s="25"/>
      <c r="T30" s="25"/>
      <c r="U30" s="25"/>
      <c r="V30" s="25"/>
      <c r="X30" s="25"/>
      <c r="Y30" s="25"/>
    </row>
    <row r="31" spans="1:25">
      <c r="A31">
        <f>IF(OR(F31=Kontoauszug!$H$2,G31=Kontoauszug!$H$2),ROUND(A30+1,0),A30+0.0001)</f>
        <v>1.0023999999999997</v>
      </c>
      <c r="B31" s="16">
        <f>IF(AND(E31&gt;=$B$2,E31&lt;=$B$3,OR(F31=Kontoauszug!$H$2,G31=Kontoauszug!$H$2)),ROUND(B30+1,0),B30+0.0001)</f>
        <v>1.0023999999999997</v>
      </c>
      <c r="C31" s="16">
        <f>IF(H31=Projektabrechnung!$F$2,ROUND(C30+1,0),C30+0.0001)</f>
        <v>2.4999999999999996E-3</v>
      </c>
      <c r="D31" s="17"/>
      <c r="E31" s="18"/>
      <c r="F31" s="19"/>
      <c r="G31" s="20"/>
      <c r="H31" s="195"/>
      <c r="I31" s="21"/>
      <c r="J31" s="22"/>
      <c r="K31" s="98" t="str">
        <f t="shared" si="0"/>
        <v/>
      </c>
      <c r="L31" s="100" t="str">
        <f>IF(F31="","",VLOOKUP(Journal!F31,Kontenplan!$E$9:$F$278,2))</f>
        <v/>
      </c>
      <c r="M31" s="99" t="str">
        <f>IF(G31="","",VLOOKUP(Journal!G31,Kontenplan!$E$9:$F$278,2))</f>
        <v/>
      </c>
      <c r="N31" s="25" t="str">
        <f>IF(AND(G31="",I31="",J31=""),"",IF(AND(I31&gt;0,OR(F31="",G31="")),"Bitte gültige Kontonummer/n eingeben",IF(OR(AND(F31&gt;0,F31&lt;1000),F31&gt;9999),"Sollkontonummer muss vierstellig sein",IF(VLOOKUP(F31,Kontenplan!$E$9:$E$277,1)&lt;&gt;F31,"Sollkonto existiert nicht",IF(D31=0,"Bitte Beleg-Nr. prüfen",IF(OR(AND(G31&gt;0,G31&lt;1000),G31&gt;9999),"Habenkontonummer muss vierstellig sein",IF(VLOOKUP(G31,Kontenplan!$E$9:$F$277,1)&lt;&gt;G31,"Habenkonto exisitert nicht","")))))))</f>
        <v/>
      </c>
      <c r="O31" s="25" t="str">
        <f t="shared" si="1"/>
        <v/>
      </c>
      <c r="P31" s="25"/>
      <c r="Q31" s="212">
        <v>30</v>
      </c>
      <c r="R31" s="212">
        <v>30.1</v>
      </c>
      <c r="S31" s="25"/>
      <c r="T31" s="25"/>
      <c r="U31" s="25"/>
      <c r="V31" s="25"/>
      <c r="X31" s="25"/>
      <c r="Y31" s="25"/>
    </row>
    <row r="32" spans="1:25">
      <c r="A32">
        <f>IF(OR(F32=Kontoauszug!$H$2,G32=Kontoauszug!$H$2),ROUND(A31+1,0),A31+0.0001)</f>
        <v>1.0024999999999997</v>
      </c>
      <c r="B32" s="16">
        <f>IF(AND(E32&gt;=$B$2,E32&lt;=$B$3,OR(F32=Kontoauszug!$H$2,G32=Kontoauszug!$H$2)),ROUND(B31+1,0),B31+0.0001)</f>
        <v>1.0024999999999997</v>
      </c>
      <c r="C32" s="16">
        <f>IF(H32=Projektabrechnung!$F$2,ROUND(C31+1,0),C31+0.0001)</f>
        <v>2.5999999999999994E-3</v>
      </c>
      <c r="D32" s="17"/>
      <c r="E32" s="18"/>
      <c r="F32" s="19"/>
      <c r="G32" s="20"/>
      <c r="H32" s="195"/>
      <c r="I32" s="21"/>
      <c r="J32" s="22"/>
      <c r="K32" s="98" t="str">
        <f t="shared" si="0"/>
        <v/>
      </c>
      <c r="L32" s="100" t="str">
        <f>IF(F32="","",VLOOKUP(Journal!F32,Kontenplan!$E$9:$F$278,2))</f>
        <v/>
      </c>
      <c r="M32" s="99" t="str">
        <f>IF(G32="","",VLOOKUP(Journal!G32,Kontenplan!$E$9:$F$278,2))</f>
        <v/>
      </c>
      <c r="N32" s="25" t="str">
        <f>IF(AND(G32="",I32="",J32=""),"",IF(AND(I32&gt;0,OR(F32="",G32="")),"Bitte gültige Kontonummer/n eingeben",IF(OR(AND(F32&gt;0,F32&lt;1000),F32&gt;9999),"Sollkontonummer muss vierstellig sein",IF(VLOOKUP(F32,Kontenplan!$E$9:$E$277,1)&lt;&gt;F32,"Sollkonto existiert nicht",IF(D32=0,"Bitte Beleg-Nr. prüfen",IF(OR(AND(G32&gt;0,G32&lt;1000),G32&gt;9999),"Habenkontonummer muss vierstellig sein",IF(VLOOKUP(G32,Kontenplan!$E$9:$F$277,1)&lt;&gt;G32,"Habenkonto exisitert nicht","")))))))</f>
        <v/>
      </c>
      <c r="O32" s="25" t="str">
        <f t="shared" si="1"/>
        <v/>
      </c>
      <c r="P32" s="25"/>
      <c r="Q32" s="216">
        <v>31</v>
      </c>
      <c r="R32" s="216">
        <v>31.1</v>
      </c>
      <c r="S32" s="25"/>
      <c r="T32" s="25"/>
      <c r="U32" s="25"/>
      <c r="V32" s="25"/>
      <c r="X32" s="25"/>
      <c r="Y32" s="25"/>
    </row>
    <row r="33" spans="1:25">
      <c r="A33">
        <f>IF(OR(F33=Kontoauszug!$H$2,G33=Kontoauszug!$H$2),ROUND(A32+1,0),A32+0.0001)</f>
        <v>1.0025999999999997</v>
      </c>
      <c r="B33" s="16">
        <f>IF(AND(E33&gt;=$B$2,E33&lt;=$B$3,OR(F33=Kontoauszug!$H$2,G33=Kontoauszug!$H$2)),ROUND(B32+1,0),B32+0.0001)</f>
        <v>1.0025999999999997</v>
      </c>
      <c r="C33" s="16">
        <f>IF(H33=Projektabrechnung!$F$2,ROUND(C32+1,0),C32+0.0001)</f>
        <v>2.6999999999999993E-3</v>
      </c>
      <c r="D33" s="17"/>
      <c r="E33" s="18"/>
      <c r="F33" s="19"/>
      <c r="G33" s="20"/>
      <c r="H33" s="195"/>
      <c r="I33" s="21"/>
      <c r="J33" s="22"/>
      <c r="K33" s="98" t="str">
        <f t="shared" si="0"/>
        <v/>
      </c>
      <c r="L33" s="100" t="str">
        <f>IF(F33="","",VLOOKUP(Journal!F33,Kontenplan!$E$9:$F$278,2))</f>
        <v/>
      </c>
      <c r="M33" s="99" t="str">
        <f>IF(G33="","",VLOOKUP(Journal!G33,Kontenplan!$E$9:$F$278,2))</f>
        <v/>
      </c>
      <c r="N33" s="25" t="str">
        <f>IF(AND(G33="",I33="",J33=""),"",IF(AND(I33&gt;0,OR(F33="",G33="")),"Bitte gültige Kontonummer/n eingeben",IF(OR(AND(F33&gt;0,F33&lt;1000),F33&gt;9999),"Sollkontonummer muss vierstellig sein",IF(VLOOKUP(F33,Kontenplan!$E$9:$E$277,1)&lt;&gt;F33,"Sollkonto existiert nicht",IF(D33=0,"Bitte Beleg-Nr. prüfen",IF(OR(AND(G33&gt;0,G33&lt;1000),G33&gt;9999),"Habenkontonummer muss vierstellig sein",IF(VLOOKUP(G33,Kontenplan!$E$9:$F$277,1)&lt;&gt;G33,"Habenkonto exisitert nicht","")))))))</f>
        <v/>
      </c>
      <c r="O33" s="25" t="str">
        <f t="shared" si="1"/>
        <v/>
      </c>
      <c r="P33" s="25"/>
      <c r="Q33" s="216">
        <v>32</v>
      </c>
      <c r="R33" s="216">
        <v>32.1</v>
      </c>
      <c r="S33" s="25"/>
      <c r="T33" s="25"/>
      <c r="U33" s="25"/>
      <c r="V33" s="25"/>
      <c r="X33" s="25"/>
      <c r="Y33" s="25"/>
    </row>
    <row r="34" spans="1:25">
      <c r="A34">
        <f>IF(OR(F34=Kontoauszug!$H$2,G34=Kontoauszug!$H$2),ROUND(A33+1,0),A33+0.0001)</f>
        <v>1.0026999999999997</v>
      </c>
      <c r="B34" s="16">
        <f>IF(AND(E34&gt;=$B$2,E34&lt;=$B$3,OR(F34=Kontoauszug!$H$2,G34=Kontoauszug!$H$2)),ROUND(B33+1,0),B33+0.0001)</f>
        <v>1.0026999999999997</v>
      </c>
      <c r="C34" s="16">
        <f>IF(H34=Projektabrechnung!$F$2,ROUND(C33+1,0),C33+0.0001)</f>
        <v>2.7999999999999991E-3</v>
      </c>
      <c r="D34" s="17"/>
      <c r="E34" s="18"/>
      <c r="F34" s="19"/>
      <c r="G34" s="20"/>
      <c r="H34" s="195"/>
      <c r="I34" s="21"/>
      <c r="J34" s="22"/>
      <c r="K34" s="98" t="str">
        <f t="shared" si="0"/>
        <v/>
      </c>
      <c r="L34" s="100" t="str">
        <f>IF(F34="","",VLOOKUP(Journal!F34,Kontenplan!$E$9:$F$278,2))</f>
        <v/>
      </c>
      <c r="M34" s="99" t="str">
        <f>IF(G34="","",VLOOKUP(Journal!G34,Kontenplan!$E$9:$F$278,2))</f>
        <v/>
      </c>
      <c r="N34" s="25" t="str">
        <f>IF(AND(G34="",I34="",J34=""),"",IF(AND(I34&gt;0,OR(F34="",G34="")),"Bitte gültige Kontonummer/n eingeben",IF(OR(AND(F34&gt;0,F34&lt;1000),F34&gt;9999),"Sollkontonummer muss vierstellig sein",IF(VLOOKUP(F34,Kontenplan!$E$9:$E$277,1)&lt;&gt;F34,"Sollkonto existiert nicht",IF(D34=0,"Bitte Beleg-Nr. prüfen",IF(OR(AND(G34&gt;0,G34&lt;1000),G34&gt;9999),"Habenkontonummer muss vierstellig sein",IF(VLOOKUP(G34,Kontenplan!$E$9:$F$277,1)&lt;&gt;G34,"Habenkonto exisitert nicht","")))))))</f>
        <v/>
      </c>
      <c r="O34" s="25" t="str">
        <f t="shared" si="1"/>
        <v/>
      </c>
      <c r="P34" s="25"/>
      <c r="Q34" s="9">
        <v>33</v>
      </c>
      <c r="R34" s="9">
        <v>33.1</v>
      </c>
      <c r="S34" s="25"/>
      <c r="T34" s="25"/>
      <c r="U34" s="25"/>
      <c r="V34" s="25"/>
      <c r="X34" s="25"/>
      <c r="Y34" s="25"/>
    </row>
    <row r="35" spans="1:25">
      <c r="A35">
        <f>IF(OR(F35=Kontoauszug!$H$2,G35=Kontoauszug!$H$2),ROUND(A34+1,0),A34+0.0001)</f>
        <v>1.0027999999999997</v>
      </c>
      <c r="B35" s="16">
        <f>IF(AND(E35&gt;=$B$2,E35&lt;=$B$3,OR(F35=Kontoauszug!$H$2,G35=Kontoauszug!$H$2)),ROUND(B34+1,0),B34+0.0001)</f>
        <v>1.0027999999999997</v>
      </c>
      <c r="C35" s="16">
        <f>IF(H35=Projektabrechnung!$F$2,ROUND(C34+1,0),C34+0.0001)</f>
        <v>2.8999999999999989E-3</v>
      </c>
      <c r="D35" s="17"/>
      <c r="E35" s="18"/>
      <c r="F35" s="19"/>
      <c r="G35" s="20"/>
      <c r="H35" s="195"/>
      <c r="I35" s="21"/>
      <c r="J35" s="22"/>
      <c r="K35" s="98" t="str">
        <f t="shared" si="0"/>
        <v/>
      </c>
      <c r="L35" s="100" t="str">
        <f>IF(F35="","",VLOOKUP(Journal!F35,Kontenplan!$E$9:$F$278,2))</f>
        <v/>
      </c>
      <c r="M35" s="99" t="str">
        <f>IF(G35="","",VLOOKUP(Journal!G35,Kontenplan!$E$9:$F$278,2))</f>
        <v/>
      </c>
      <c r="N35" s="25" t="str">
        <f>IF(AND(G35="",I35="",J35=""),"",IF(AND(I35&gt;0,OR(F35="",G35="")),"Bitte gültige Kontonummer/n eingeben",IF(OR(AND(F35&gt;0,F35&lt;1000),F35&gt;9999),"Sollkontonummer muss vierstellig sein",IF(VLOOKUP(F35,Kontenplan!$E$9:$E$277,1)&lt;&gt;F35,"Sollkonto existiert nicht",IF(D35=0,"Bitte Beleg-Nr. prüfen",IF(OR(AND(G35&gt;0,G35&lt;1000),G35&gt;9999),"Habenkontonummer muss vierstellig sein",IF(VLOOKUP(G35,Kontenplan!$E$9:$F$277,1)&lt;&gt;G35,"Habenkonto exisitert nicht","")))))))</f>
        <v/>
      </c>
      <c r="O35" s="25" t="str">
        <f t="shared" si="1"/>
        <v/>
      </c>
      <c r="P35" s="25"/>
      <c r="Q35" s="212">
        <v>34</v>
      </c>
      <c r="R35" s="212">
        <v>34.1</v>
      </c>
      <c r="S35" s="25"/>
      <c r="T35" s="25"/>
      <c r="U35" s="25"/>
      <c r="V35" s="25"/>
      <c r="X35" s="25"/>
      <c r="Y35" s="25"/>
    </row>
    <row r="36" spans="1:25">
      <c r="A36">
        <f>IF(OR(F36=Kontoauszug!$H$2,G36=Kontoauszug!$H$2),ROUND(A35+1,0),A35+0.0001)</f>
        <v>1.0028999999999997</v>
      </c>
      <c r="B36" s="16">
        <f>IF(AND(E36&gt;=$B$2,E36&lt;=$B$3,OR(F36=Kontoauszug!$H$2,G36=Kontoauszug!$H$2)),ROUND(B35+1,0),B35+0.0001)</f>
        <v>1.0028999999999997</v>
      </c>
      <c r="C36" s="16">
        <f>IF(H36=Projektabrechnung!$F$2,ROUND(C35+1,0),C35+0.0001)</f>
        <v>2.9999999999999988E-3</v>
      </c>
      <c r="D36" s="17"/>
      <c r="E36" s="18"/>
      <c r="F36" s="19"/>
      <c r="G36" s="20"/>
      <c r="H36" s="195"/>
      <c r="I36" s="21"/>
      <c r="J36" s="22"/>
      <c r="K36" s="98" t="str">
        <f t="shared" si="0"/>
        <v/>
      </c>
      <c r="L36" s="100" t="str">
        <f>IF(F36="","",VLOOKUP(Journal!F36,Kontenplan!$E$9:$F$278,2))</f>
        <v/>
      </c>
      <c r="M36" s="99" t="str">
        <f>IF(G36="","",VLOOKUP(Journal!G36,Kontenplan!$E$9:$F$278,2))</f>
        <v/>
      </c>
      <c r="N36" s="25" t="str">
        <f>IF(AND(G36="",I36="",J36=""),"",IF(AND(I36&gt;0,OR(F36="",G36="")),"Bitte gültige Kontonummer/n eingeben",IF(OR(AND(F36&gt;0,F36&lt;1000),F36&gt;9999),"Sollkontonummer muss vierstellig sein",IF(VLOOKUP(F36,Kontenplan!$E$9:$E$277,1)&lt;&gt;F36,"Sollkonto existiert nicht",IF(D36=0,"Bitte Beleg-Nr. prüfen",IF(OR(AND(G36&gt;0,G36&lt;1000),G36&gt;9999),"Habenkontonummer muss vierstellig sein",IF(VLOOKUP(G36,Kontenplan!$E$9:$F$277,1)&lt;&gt;G36,"Habenkonto exisitert nicht","")))))))</f>
        <v/>
      </c>
      <c r="O36" s="25" t="str">
        <f t="shared" si="1"/>
        <v/>
      </c>
      <c r="P36" s="25"/>
      <c r="Q36" s="216">
        <v>35</v>
      </c>
      <c r="R36" s="216">
        <v>35.1</v>
      </c>
      <c r="S36" s="25"/>
      <c r="T36" s="25"/>
      <c r="U36" s="25"/>
      <c r="V36" s="25"/>
      <c r="X36" s="25"/>
      <c r="Y36" s="25"/>
    </row>
    <row r="37" spans="1:25">
      <c r="A37">
        <f>IF(OR(F37=Kontoauszug!$H$2,G37=Kontoauszug!$H$2),ROUND(A36+1,0),A36+0.0001)</f>
        <v>1.0029999999999997</v>
      </c>
      <c r="B37" s="16">
        <f>IF(AND(E37&gt;=$B$2,E37&lt;=$B$3,OR(F37=Kontoauszug!$H$2,G37=Kontoauszug!$H$2)),ROUND(B36+1,0),B36+0.0001)</f>
        <v>1.0029999999999997</v>
      </c>
      <c r="C37" s="16">
        <f>IF(H37=Projektabrechnung!$F$2,ROUND(C36+1,0),C36+0.0001)</f>
        <v>3.0999999999999986E-3</v>
      </c>
      <c r="D37" s="17"/>
      <c r="E37" s="18"/>
      <c r="F37" s="19"/>
      <c r="G37" s="20"/>
      <c r="H37" s="195"/>
      <c r="I37" s="21"/>
      <c r="J37" s="22"/>
      <c r="K37" s="98" t="str">
        <f t="shared" si="0"/>
        <v/>
      </c>
      <c r="L37" s="100" t="str">
        <f>IF(F37="","",VLOOKUP(Journal!F37,Kontenplan!$E$9:$F$278,2))</f>
        <v/>
      </c>
      <c r="M37" s="99" t="str">
        <f>IF(G37="","",VLOOKUP(Journal!G37,Kontenplan!$E$9:$F$278,2))</f>
        <v/>
      </c>
      <c r="N37" s="25" t="str">
        <f>IF(AND(G37="",I37="",J37=""),"",IF(AND(I37&gt;0,OR(F37="",G37="")),"Bitte gültige Kontonummer/n eingeben",IF(OR(AND(F37&gt;0,F37&lt;1000),F37&gt;9999),"Sollkontonummer muss vierstellig sein",IF(VLOOKUP(F37,Kontenplan!$E$9:$E$277,1)&lt;&gt;F37,"Sollkonto existiert nicht",IF(D37=0,"Bitte Beleg-Nr. prüfen",IF(OR(AND(G37&gt;0,G37&lt;1000),G37&gt;9999),"Habenkontonummer muss vierstellig sein",IF(VLOOKUP(G37,Kontenplan!$E$9:$F$277,1)&lt;&gt;G37,"Habenkonto exisitert nicht","")))))))</f>
        <v/>
      </c>
      <c r="O37" s="25" t="str">
        <f t="shared" si="1"/>
        <v/>
      </c>
      <c r="P37" s="25"/>
      <c r="Q37" s="216">
        <v>36</v>
      </c>
      <c r="R37" s="216">
        <v>36.1</v>
      </c>
      <c r="S37" s="25"/>
      <c r="T37" s="25"/>
      <c r="U37" s="25"/>
      <c r="V37" s="25"/>
      <c r="X37" s="25"/>
      <c r="Y37" s="25"/>
    </row>
    <row r="38" spans="1:25">
      <c r="A38">
        <f>IF(OR(F38=Kontoauszug!$H$2,G38=Kontoauszug!$H$2),ROUND(A37+1,0),A37+0.0001)</f>
        <v>1.0030999999999997</v>
      </c>
      <c r="B38" s="16">
        <f>IF(AND(E38&gt;=$B$2,E38&lt;=$B$3,OR(F38=Kontoauszug!$H$2,G38=Kontoauszug!$H$2)),ROUND(B37+1,0),B37+0.0001)</f>
        <v>1.0030999999999997</v>
      </c>
      <c r="C38" s="16">
        <f>IF(H38=Projektabrechnung!$F$2,ROUND(C37+1,0),C37+0.0001)</f>
        <v>3.1999999999999984E-3</v>
      </c>
      <c r="D38" s="17"/>
      <c r="E38" s="18"/>
      <c r="F38" s="19"/>
      <c r="G38" s="20"/>
      <c r="H38" s="195"/>
      <c r="I38" s="21"/>
      <c r="J38" s="22"/>
      <c r="K38" s="98" t="str">
        <f t="shared" si="0"/>
        <v/>
      </c>
      <c r="L38" s="100" t="str">
        <f>IF(F38="","",VLOOKUP(Journal!F38,Kontenplan!$E$9:$F$278,2))</f>
        <v/>
      </c>
      <c r="M38" s="99" t="str">
        <f>IF(G38="","",VLOOKUP(Journal!G38,Kontenplan!$E$9:$F$278,2))</f>
        <v/>
      </c>
      <c r="N38" s="25" t="str">
        <f>IF(AND(G38="",I38="",J38=""),"",IF(AND(I38&gt;0,OR(F38="",G38="")),"Bitte gültige Kontonummer/n eingeben",IF(OR(AND(F38&gt;0,F38&lt;1000),F38&gt;9999),"Sollkontonummer muss vierstellig sein",IF(VLOOKUP(F38,Kontenplan!$E$9:$E$277,1)&lt;&gt;F38,"Sollkonto existiert nicht",IF(D38=0,"Bitte Beleg-Nr. prüfen",IF(OR(AND(G38&gt;0,G38&lt;1000),G38&gt;9999),"Habenkontonummer muss vierstellig sein",IF(VLOOKUP(G38,Kontenplan!$E$9:$F$277,1)&lt;&gt;G38,"Habenkonto exisitert nicht","")))))))</f>
        <v/>
      </c>
      <c r="O38" s="25" t="str">
        <f t="shared" si="1"/>
        <v/>
      </c>
      <c r="P38" s="25"/>
      <c r="Q38" s="9">
        <v>37</v>
      </c>
      <c r="R38" s="9">
        <v>37.1</v>
      </c>
      <c r="S38" s="25"/>
      <c r="T38" s="25"/>
      <c r="U38" s="25"/>
      <c r="V38" s="25"/>
      <c r="X38" s="25"/>
      <c r="Y38" s="25"/>
    </row>
    <row r="39" spans="1:25">
      <c r="A39">
        <f>IF(OR(F39=Kontoauszug!$H$2,G39=Kontoauszug!$H$2),ROUND(A38+1,0),A38+0.0001)</f>
        <v>1.0031999999999996</v>
      </c>
      <c r="B39" s="16">
        <f>IF(AND(E39&gt;=$B$2,E39&lt;=$B$3,OR(F39=Kontoauszug!$H$2,G39=Kontoauszug!$H$2)),ROUND(B38+1,0),B38+0.0001)</f>
        <v>1.0031999999999996</v>
      </c>
      <c r="C39" s="16">
        <f>IF(H39=Projektabrechnung!$F$2,ROUND(C38+1,0),C38+0.0001)</f>
        <v>3.2999999999999982E-3</v>
      </c>
      <c r="D39" s="17"/>
      <c r="E39" s="18"/>
      <c r="F39" s="19"/>
      <c r="G39" s="20"/>
      <c r="H39" s="195"/>
      <c r="I39" s="21"/>
      <c r="J39" s="22"/>
      <c r="K39" s="98" t="str">
        <f t="shared" si="0"/>
        <v/>
      </c>
      <c r="L39" s="100" t="str">
        <f>IF(F39="","",VLOOKUP(Journal!F39,Kontenplan!$E$9:$F$278,2))</f>
        <v/>
      </c>
      <c r="M39" s="99" t="str">
        <f>IF(G39="","",VLOOKUP(Journal!G39,Kontenplan!$E$9:$F$278,2))</f>
        <v/>
      </c>
      <c r="N39" s="25" t="str">
        <f>IF(AND(G39="",I39="",J39=""),"",IF(AND(I39&gt;0,OR(F39="",G39="")),"Bitte gültige Kontonummer/n eingeben",IF(OR(AND(F39&gt;0,F39&lt;1000),F39&gt;9999),"Sollkontonummer muss vierstellig sein",IF(VLOOKUP(F39,Kontenplan!$E$9:$E$277,1)&lt;&gt;F39,"Sollkonto existiert nicht",IF(D39=0,"Bitte Beleg-Nr. prüfen",IF(OR(AND(G39&gt;0,G39&lt;1000),G39&gt;9999),"Habenkontonummer muss vierstellig sein",IF(VLOOKUP(G39,Kontenplan!$E$9:$F$277,1)&lt;&gt;G39,"Habenkonto exisitert nicht","")))))))</f>
        <v/>
      </c>
      <c r="O39" s="25" t="str">
        <f t="shared" si="1"/>
        <v/>
      </c>
      <c r="P39" s="25"/>
      <c r="Q39" s="212">
        <v>38</v>
      </c>
      <c r="R39" s="212">
        <v>38.1</v>
      </c>
      <c r="S39" s="25"/>
      <c r="T39" s="25"/>
      <c r="U39" s="25"/>
      <c r="V39" s="25"/>
      <c r="X39" s="25"/>
      <c r="Y39" s="25"/>
    </row>
    <row r="40" spans="1:25">
      <c r="A40">
        <f>IF(OR(F40=Kontoauszug!$H$2,G40=Kontoauszug!$H$2),ROUND(A39+1,0),A39+0.0001)</f>
        <v>1.0032999999999996</v>
      </c>
      <c r="B40" s="16">
        <f>IF(AND(E40&gt;=$B$2,E40&lt;=$B$3,OR(F40=Kontoauszug!$H$2,G40=Kontoauszug!$H$2)),ROUND(B39+1,0),B39+0.0001)</f>
        <v>1.0032999999999996</v>
      </c>
      <c r="C40" s="16">
        <f>IF(H40=Projektabrechnung!$F$2,ROUND(C39+1,0),C39+0.0001)</f>
        <v>3.3999999999999981E-3</v>
      </c>
      <c r="D40" s="17"/>
      <c r="E40" s="18"/>
      <c r="F40" s="19"/>
      <c r="G40" s="20"/>
      <c r="H40" s="195"/>
      <c r="I40" s="21"/>
      <c r="J40" s="22"/>
      <c r="K40" s="98" t="str">
        <f t="shared" si="0"/>
        <v/>
      </c>
      <c r="L40" s="100" t="str">
        <f>IF(F40="","",VLOOKUP(Journal!F40,Kontenplan!$E$9:$F$278,2))</f>
        <v/>
      </c>
      <c r="M40" s="99" t="str">
        <f>IF(G40="","",VLOOKUP(Journal!G40,Kontenplan!$E$9:$F$278,2))</f>
        <v/>
      </c>
      <c r="N40" s="25" t="str">
        <f>IF(AND(G40="",I40="",J40=""),"",IF(AND(I40&gt;0,OR(F40="",G40="")),"Bitte gültige Kontonummer/n eingeben",IF(OR(AND(F40&gt;0,F40&lt;1000),F40&gt;9999),"Sollkontonummer muss vierstellig sein",IF(VLOOKUP(F40,Kontenplan!$E$9:$E$277,1)&lt;&gt;F40,"Sollkonto existiert nicht",IF(D40=0,"Bitte Beleg-Nr. prüfen",IF(OR(AND(G40&gt;0,G40&lt;1000),G40&gt;9999),"Habenkontonummer muss vierstellig sein",IF(VLOOKUP(G40,Kontenplan!$E$9:$F$277,1)&lt;&gt;G40,"Habenkonto exisitert nicht","")))))))</f>
        <v/>
      </c>
      <c r="O40" s="25" t="str">
        <f t="shared" si="1"/>
        <v/>
      </c>
      <c r="P40" s="25"/>
      <c r="Q40" s="216">
        <v>39</v>
      </c>
      <c r="R40" s="216">
        <v>39.1</v>
      </c>
      <c r="S40" s="25"/>
      <c r="T40" s="25"/>
      <c r="U40" s="25"/>
      <c r="V40" s="25"/>
      <c r="X40" s="25"/>
      <c r="Y40" s="25"/>
    </row>
    <row r="41" spans="1:25">
      <c r="A41">
        <f>IF(OR(F41=Kontoauszug!$H$2,G41=Kontoauszug!$H$2),ROUND(A40+1,0),A40+0.0001)</f>
        <v>1.0033999999999996</v>
      </c>
      <c r="B41" s="16">
        <f>IF(AND(E41&gt;=$B$2,E41&lt;=$B$3,OR(F41=Kontoauszug!$H$2,G41=Kontoauszug!$H$2)),ROUND(B40+1,0),B40+0.0001)</f>
        <v>1.0033999999999996</v>
      </c>
      <c r="C41" s="16">
        <f>IF(H41=Projektabrechnung!$F$2,ROUND(C40+1,0),C40+0.0001)</f>
        <v>3.4999999999999979E-3</v>
      </c>
      <c r="D41" s="17"/>
      <c r="E41" s="18"/>
      <c r="F41" s="19"/>
      <c r="G41" s="20"/>
      <c r="H41" s="195"/>
      <c r="I41" s="21"/>
      <c r="J41" s="22"/>
      <c r="K41" s="98" t="str">
        <f t="shared" si="0"/>
        <v/>
      </c>
      <c r="L41" s="100" t="str">
        <f>IF(F41="","",VLOOKUP(Journal!F41,Kontenplan!$E$9:$F$278,2))</f>
        <v/>
      </c>
      <c r="M41" s="99" t="str">
        <f>IF(G41="","",VLOOKUP(Journal!G41,Kontenplan!$E$9:$F$278,2))</f>
        <v/>
      </c>
      <c r="N41" s="25" t="str">
        <f>IF(AND(G41="",I41="",J41=""),"",IF(AND(I41&gt;0,OR(F41="",G41="")),"Bitte gültige Kontonummer/n eingeben",IF(OR(AND(F41&gt;0,F41&lt;1000),F41&gt;9999),"Sollkontonummer muss vierstellig sein",IF(VLOOKUP(F41,Kontenplan!$E$9:$E$277,1)&lt;&gt;F41,"Sollkonto existiert nicht",IF(D41=0,"Bitte Beleg-Nr. prüfen",IF(OR(AND(G41&gt;0,G41&lt;1000),G41&gt;9999),"Habenkontonummer muss vierstellig sein",IF(VLOOKUP(G41,Kontenplan!$E$9:$F$277,1)&lt;&gt;G41,"Habenkonto exisitert nicht","")))))))</f>
        <v/>
      </c>
      <c r="O41" s="25" t="str">
        <f t="shared" si="1"/>
        <v/>
      </c>
      <c r="P41" s="25"/>
      <c r="Q41" s="216">
        <v>40</v>
      </c>
      <c r="R41" s="216">
        <v>40.1</v>
      </c>
      <c r="S41" s="25"/>
      <c r="T41" s="25"/>
      <c r="U41" s="25"/>
      <c r="V41" s="25"/>
      <c r="X41" s="25"/>
      <c r="Y41" s="25"/>
    </row>
    <row r="42" spans="1:25">
      <c r="A42">
        <f>IF(OR(F42=Kontoauszug!$H$2,G42=Kontoauszug!$H$2),ROUND(A41+1,0),A41+0.0001)</f>
        <v>1.0034999999999996</v>
      </c>
      <c r="B42" s="16">
        <f>IF(AND(E42&gt;=$B$2,E42&lt;=$B$3,OR(F42=Kontoauszug!$H$2,G42=Kontoauszug!$H$2)),ROUND(B41+1,0),B41+0.0001)</f>
        <v>1.0034999999999996</v>
      </c>
      <c r="C42" s="16">
        <f>IF(H42=Projektabrechnung!$F$2,ROUND(C41+1,0),C41+0.0001)</f>
        <v>3.5999999999999977E-3</v>
      </c>
      <c r="D42" s="17"/>
      <c r="E42" s="18"/>
      <c r="F42" s="19"/>
      <c r="G42" s="20"/>
      <c r="H42" s="195"/>
      <c r="I42" s="21"/>
      <c r="J42" s="22"/>
      <c r="K42" s="98" t="str">
        <f t="shared" si="0"/>
        <v/>
      </c>
      <c r="L42" s="100" t="str">
        <f>IF(F42="","",VLOOKUP(Journal!F42,Kontenplan!$E$9:$F$278,2))</f>
        <v/>
      </c>
      <c r="M42" s="99" t="str">
        <f>IF(G42="","",VLOOKUP(Journal!G42,Kontenplan!$E$9:$F$278,2))</f>
        <v/>
      </c>
      <c r="N42" s="25" t="str">
        <f>IF(AND(G42="",I42="",J42=""),"",IF(AND(I42&gt;0,OR(F42="",G42="")),"Bitte gültige Kontonummer/n eingeben",IF(OR(AND(F42&gt;0,F42&lt;1000),F42&gt;9999),"Sollkontonummer muss vierstellig sein",IF(VLOOKUP(F42,Kontenplan!$E$9:$E$277,1)&lt;&gt;F42,"Sollkonto existiert nicht",IF(D42=0,"Bitte Beleg-Nr. prüfen",IF(OR(AND(G42&gt;0,G42&lt;1000),G42&gt;9999),"Habenkontonummer muss vierstellig sein",IF(VLOOKUP(G42,Kontenplan!$E$9:$F$277,1)&lt;&gt;G42,"Habenkonto exisitert nicht","")))))))</f>
        <v/>
      </c>
      <c r="O42" s="25" t="str">
        <f t="shared" si="1"/>
        <v/>
      </c>
      <c r="P42" s="25"/>
      <c r="Q42" s="9">
        <v>41</v>
      </c>
      <c r="R42" s="9">
        <v>41.1</v>
      </c>
      <c r="S42" s="25"/>
      <c r="T42" s="25"/>
      <c r="U42" s="25"/>
      <c r="V42" s="25"/>
      <c r="X42" s="25"/>
      <c r="Y42" s="25"/>
    </row>
    <row r="43" spans="1:25">
      <c r="A43">
        <f>IF(OR(F43=Kontoauszug!$H$2,G43=Kontoauszug!$H$2),ROUND(A42+1,0),A42+0.0001)</f>
        <v>1.0035999999999996</v>
      </c>
      <c r="B43" s="16">
        <f>IF(AND(E43&gt;=$B$2,E43&lt;=$B$3,OR(F43=Kontoauszug!$H$2,G43=Kontoauszug!$H$2)),ROUND(B42+1,0),B42+0.0001)</f>
        <v>1.0035999999999996</v>
      </c>
      <c r="C43" s="16">
        <f>IF(H43=Projektabrechnung!$F$2,ROUND(C42+1,0),C42+0.0001)</f>
        <v>3.6999999999999976E-3</v>
      </c>
      <c r="D43" s="17"/>
      <c r="E43" s="18"/>
      <c r="F43" s="19"/>
      <c r="G43" s="20"/>
      <c r="H43" s="195"/>
      <c r="I43" s="21"/>
      <c r="J43" s="22"/>
      <c r="K43" s="98" t="str">
        <f t="shared" si="0"/>
        <v/>
      </c>
      <c r="L43" s="100" t="str">
        <f>IF(F43="","",VLOOKUP(Journal!F43,Kontenplan!$E$9:$F$278,2))</f>
        <v/>
      </c>
      <c r="M43" s="99" t="str">
        <f>IF(G43="","",VLOOKUP(Journal!G43,Kontenplan!$E$9:$F$278,2))</f>
        <v/>
      </c>
      <c r="N43" s="25" t="str">
        <f>IF(AND(G43="",I43="",J43=""),"",IF(AND(I43&gt;0,OR(F43="",G43="")),"Bitte gültige Kontonummer/n eingeben",IF(OR(AND(F43&gt;0,F43&lt;1000),F43&gt;9999),"Sollkontonummer muss vierstellig sein",IF(VLOOKUP(F43,Kontenplan!$E$9:$E$277,1)&lt;&gt;F43,"Sollkonto existiert nicht",IF(D43=0,"Bitte Beleg-Nr. prüfen",IF(OR(AND(G43&gt;0,G43&lt;1000),G43&gt;9999),"Habenkontonummer muss vierstellig sein",IF(VLOOKUP(G43,Kontenplan!$E$9:$F$277,1)&lt;&gt;G43,"Habenkonto exisitert nicht","")))))))</f>
        <v/>
      </c>
      <c r="O43" s="25" t="str">
        <f t="shared" si="1"/>
        <v/>
      </c>
      <c r="P43" s="25"/>
      <c r="Q43" s="212">
        <v>42</v>
      </c>
      <c r="R43" s="212">
        <v>42.1</v>
      </c>
      <c r="S43" s="25"/>
      <c r="T43" s="25"/>
      <c r="U43" s="25"/>
      <c r="V43" s="25"/>
      <c r="X43" s="25"/>
      <c r="Y43" s="25"/>
    </row>
    <row r="44" spans="1:25">
      <c r="A44">
        <f>IF(OR(F44=Kontoauszug!$H$2,G44=Kontoauszug!$H$2),ROUND(A43+1,0),A43+0.0001)</f>
        <v>1.0036999999999996</v>
      </c>
      <c r="B44" s="16">
        <f>IF(AND(E44&gt;=$B$2,E44&lt;=$B$3,OR(F44=Kontoauszug!$H$2,G44=Kontoauszug!$H$2)),ROUND(B43+1,0),B43+0.0001)</f>
        <v>1.0036999999999996</v>
      </c>
      <c r="C44" s="16">
        <f>IF(H44=Projektabrechnung!$F$2,ROUND(C43+1,0),C43+0.0001)</f>
        <v>3.7999999999999974E-3</v>
      </c>
      <c r="D44" s="17"/>
      <c r="E44" s="18"/>
      <c r="F44" s="19"/>
      <c r="G44" s="20"/>
      <c r="H44" s="195"/>
      <c r="I44" s="21"/>
      <c r="J44" s="22"/>
      <c r="K44" s="98" t="str">
        <f t="shared" si="0"/>
        <v/>
      </c>
      <c r="L44" s="100" t="str">
        <f>IF(F44="","",VLOOKUP(Journal!F44,Kontenplan!$E$9:$F$278,2))</f>
        <v/>
      </c>
      <c r="M44" s="99" t="str">
        <f>IF(G44="","",VLOOKUP(Journal!G44,Kontenplan!$E$9:$F$278,2))</f>
        <v/>
      </c>
      <c r="N44" s="25" t="str">
        <f>IF(AND(G44="",I44="",J44=""),"",IF(AND(I44&gt;0,OR(F44="",G44="")),"Bitte gültige Kontonummer/n eingeben",IF(OR(AND(F44&gt;0,F44&lt;1000),F44&gt;9999),"Sollkontonummer muss vierstellig sein",IF(VLOOKUP(F44,Kontenplan!$E$9:$E$277,1)&lt;&gt;F44,"Sollkonto existiert nicht",IF(D44=0,"Bitte Beleg-Nr. prüfen",IF(OR(AND(G44&gt;0,G44&lt;1000),G44&gt;9999),"Habenkontonummer muss vierstellig sein",IF(VLOOKUP(G44,Kontenplan!$E$9:$F$277,1)&lt;&gt;G44,"Habenkonto exisitert nicht","")))))))</f>
        <v/>
      </c>
      <c r="O44" s="25" t="str">
        <f t="shared" si="1"/>
        <v/>
      </c>
      <c r="P44" s="25"/>
      <c r="Q44" s="216">
        <v>43</v>
      </c>
      <c r="R44" s="216">
        <v>43.1</v>
      </c>
      <c r="S44" s="25"/>
      <c r="T44" s="25"/>
      <c r="U44" s="25"/>
      <c r="V44" s="25"/>
      <c r="X44" s="25"/>
      <c r="Y44" s="25"/>
    </row>
    <row r="45" spans="1:25">
      <c r="A45">
        <f>IF(OR(F45=Kontoauszug!$H$2,G45=Kontoauszug!$H$2),ROUND(A44+1,0),A44+0.0001)</f>
        <v>1.0037999999999996</v>
      </c>
      <c r="B45" s="16">
        <f>IF(AND(E45&gt;=$B$2,E45&lt;=$B$3,OR(F45=Kontoauszug!$H$2,G45=Kontoauszug!$H$2)),ROUND(B44+1,0),B44+0.0001)</f>
        <v>1.0037999999999996</v>
      </c>
      <c r="C45" s="16">
        <f>IF(H45=Projektabrechnung!$F$2,ROUND(C44+1,0),C44+0.0001)</f>
        <v>3.8999999999999972E-3</v>
      </c>
      <c r="D45" s="17"/>
      <c r="E45" s="18"/>
      <c r="F45" s="19"/>
      <c r="G45" s="20"/>
      <c r="H45" s="195"/>
      <c r="I45" s="21"/>
      <c r="J45" s="26"/>
      <c r="K45" s="98" t="str">
        <f t="shared" si="0"/>
        <v/>
      </c>
      <c r="L45" s="100" t="str">
        <f>IF(F45="","",VLOOKUP(Journal!F45,Kontenplan!$E$9:$F$278,2))</f>
        <v/>
      </c>
      <c r="M45" s="99" t="str">
        <f>IF(G45="","",VLOOKUP(Journal!G45,Kontenplan!$E$9:$F$278,2))</f>
        <v/>
      </c>
      <c r="N45" s="25" t="str">
        <f>IF(AND(G45="",I45="",J45=""),"",IF(AND(I45&gt;0,OR(F45="",G45="")),"Bitte gültige Kontonummer/n eingeben",IF(OR(AND(F45&gt;0,F45&lt;1000),F45&gt;9999),"Sollkontonummer muss vierstellig sein",IF(VLOOKUP(F45,Kontenplan!$E$9:$E$277,1)&lt;&gt;F45,"Sollkonto existiert nicht",IF(D45=0,"Bitte Beleg-Nr. prüfen",IF(OR(AND(G45&gt;0,G45&lt;1000),G45&gt;9999),"Habenkontonummer muss vierstellig sein",IF(VLOOKUP(G45,Kontenplan!$E$9:$F$277,1)&lt;&gt;G45,"Habenkonto exisitert nicht","")))))))</f>
        <v/>
      </c>
      <c r="O45" s="25" t="str">
        <f t="shared" si="1"/>
        <v/>
      </c>
      <c r="P45" s="25"/>
      <c r="Q45" s="216">
        <v>44</v>
      </c>
      <c r="R45" s="216">
        <v>44.1</v>
      </c>
      <c r="S45" s="25"/>
      <c r="T45" s="25"/>
      <c r="U45" s="25"/>
      <c r="V45" s="25"/>
      <c r="X45" s="25"/>
      <c r="Y45" s="25"/>
    </row>
    <row r="46" spans="1:25">
      <c r="A46">
        <f>IF(OR(F46=Kontoauszug!$H$2,G46=Kontoauszug!$H$2),ROUND(A45+1,0),A45+0.0001)</f>
        <v>1.0038999999999996</v>
      </c>
      <c r="B46" s="16">
        <f>IF(AND(E46&gt;=$B$2,E46&lt;=$B$3,OR(F46=Kontoauszug!$H$2,G46=Kontoauszug!$H$2)),ROUND(B45+1,0),B45+0.0001)</f>
        <v>1.0038999999999996</v>
      </c>
      <c r="C46" s="16">
        <f>IF(H46=Projektabrechnung!$F$2,ROUND(C45+1,0),C45+0.0001)</f>
        <v>3.9999999999999975E-3</v>
      </c>
      <c r="D46" s="27"/>
      <c r="E46" s="18"/>
      <c r="F46" s="19"/>
      <c r="G46" s="20"/>
      <c r="H46" s="195"/>
      <c r="I46" s="21"/>
      <c r="J46" s="22"/>
      <c r="K46" s="98" t="str">
        <f t="shared" si="0"/>
        <v/>
      </c>
      <c r="L46" s="100" t="str">
        <f>IF(F46="","",VLOOKUP(Journal!F46,Kontenplan!$E$9:$F$278,2))</f>
        <v/>
      </c>
      <c r="M46" s="99" t="str">
        <f>IF(G46="","",VLOOKUP(Journal!G46,Kontenplan!$E$9:$F$278,2))</f>
        <v/>
      </c>
      <c r="N46" s="25" t="str">
        <f>IF(AND(G46="",I46="",J46=""),"",IF(AND(I46&gt;0,OR(F46="",G46="")),"Bitte gültige Kontonummer/n eingeben",IF(OR(AND(F46&gt;0,F46&lt;1000),F46&gt;9999),"Sollkontonummer muss vierstellig sein",IF(VLOOKUP(F46,Kontenplan!$E$9:$E$277,1)&lt;&gt;F46,"Sollkonto existiert nicht",IF(D46=0,"Bitte Beleg-Nr. prüfen",IF(OR(AND(G46&gt;0,G46&lt;1000),G46&gt;9999),"Habenkontonummer muss vierstellig sein",IF(VLOOKUP(G46,Kontenplan!$E$9:$F$277,1)&lt;&gt;G46,"Habenkonto exisitert nicht","")))))))</f>
        <v/>
      </c>
      <c r="O46" s="25" t="str">
        <f t="shared" si="1"/>
        <v/>
      </c>
      <c r="P46" s="25"/>
      <c r="Q46" s="9">
        <v>45</v>
      </c>
      <c r="R46" s="9">
        <v>45.1</v>
      </c>
      <c r="S46" s="25"/>
      <c r="T46" s="25"/>
      <c r="U46" s="25"/>
      <c r="V46" s="25"/>
      <c r="X46" s="25"/>
      <c r="Y46" s="25"/>
    </row>
    <row r="47" spans="1:25">
      <c r="A47">
        <f>IF(OR(F47=Kontoauszug!$H$2,G47=Kontoauszug!$H$2),ROUND(A46+1,0),A46+0.0001)</f>
        <v>1.0039999999999996</v>
      </c>
      <c r="B47" s="16">
        <f>IF(AND(E47&gt;=$B$2,E47&lt;=$B$3,OR(F47=Kontoauszug!$H$2,G47=Kontoauszug!$H$2)),ROUND(B46+1,0),B46+0.0001)</f>
        <v>1.0039999999999996</v>
      </c>
      <c r="C47" s="16">
        <f>IF(H47=Projektabrechnung!$F$2,ROUND(C46+1,0),C46+0.0001)</f>
        <v>4.0999999999999977E-3</v>
      </c>
      <c r="D47" s="17"/>
      <c r="E47" s="18"/>
      <c r="F47" s="19"/>
      <c r="G47" s="20"/>
      <c r="H47" s="195"/>
      <c r="I47" s="21"/>
      <c r="J47" s="22"/>
      <c r="K47" s="98" t="str">
        <f t="shared" si="0"/>
        <v/>
      </c>
      <c r="L47" s="100" t="str">
        <f>IF(F47="","",VLOOKUP(Journal!F47,Kontenplan!$E$9:$F$278,2))</f>
        <v/>
      </c>
      <c r="M47" s="99" t="str">
        <f>IF(G47="","",VLOOKUP(Journal!G47,Kontenplan!$E$9:$F$278,2))</f>
        <v/>
      </c>
      <c r="N47" s="25" t="str">
        <f>IF(AND(G47="",I47="",J47=""),"",IF(AND(I47&gt;0,OR(F47="",G47="")),"Bitte gültige Kontonummer/n eingeben",IF(OR(AND(F47&gt;0,F47&lt;1000),F47&gt;9999),"Sollkontonummer muss vierstellig sein",IF(VLOOKUP(F47,Kontenplan!$E$9:$E$277,1)&lt;&gt;F47,"Sollkonto existiert nicht",IF(D47=0,"Bitte Beleg-Nr. prüfen",IF(OR(AND(G47&gt;0,G47&lt;1000),G47&gt;9999),"Habenkontonummer muss vierstellig sein",IF(VLOOKUP(G47,Kontenplan!$E$9:$F$277,1)&lt;&gt;G47,"Habenkonto exisitert nicht","")))))))</f>
        <v/>
      </c>
      <c r="O47" s="25" t="str">
        <f t="shared" si="1"/>
        <v/>
      </c>
      <c r="P47" s="25"/>
      <c r="Q47" s="212">
        <v>46</v>
      </c>
      <c r="R47" s="212">
        <v>46.1</v>
      </c>
      <c r="S47" s="25"/>
      <c r="T47" s="25"/>
      <c r="U47" s="25"/>
      <c r="V47" s="25"/>
      <c r="X47" s="25"/>
      <c r="Y47" s="25"/>
    </row>
    <row r="48" spans="1:25">
      <c r="A48">
        <f>IF(OR(F48=Kontoauszug!$H$2,G48=Kontoauszug!$H$2),ROUND(A47+1,0),A47+0.0001)</f>
        <v>1.0040999999999995</v>
      </c>
      <c r="B48" s="16">
        <f>IF(AND(E48&gt;=$B$2,E48&lt;=$B$3,OR(F48=Kontoauszug!$H$2,G48=Kontoauszug!$H$2)),ROUND(B47+1,0),B47+0.0001)</f>
        <v>1.0040999999999995</v>
      </c>
      <c r="C48" s="16">
        <f>IF(H48=Projektabrechnung!$F$2,ROUND(C47+1,0),C47+0.0001)</f>
        <v>4.199999999999998E-3</v>
      </c>
      <c r="D48" s="17"/>
      <c r="E48" s="18"/>
      <c r="F48" s="19"/>
      <c r="G48" s="20"/>
      <c r="H48" s="195"/>
      <c r="I48" s="21"/>
      <c r="J48" s="22"/>
      <c r="K48" s="98" t="str">
        <f t="shared" si="0"/>
        <v/>
      </c>
      <c r="L48" s="100" t="str">
        <f>IF(F48="","",VLOOKUP(Journal!F48,Kontenplan!$E$9:$F$278,2))</f>
        <v/>
      </c>
      <c r="M48" s="99" t="str">
        <f>IF(G48="","",VLOOKUP(Journal!G48,Kontenplan!$E$9:$F$278,2))</f>
        <v/>
      </c>
      <c r="N48" s="25" t="str">
        <f>IF(AND(G48="",I48="",J48=""),"",IF(AND(I48&gt;0,OR(F48="",G48="")),"Bitte gültige Kontonummer/n eingeben",IF(OR(AND(F48&gt;0,F48&lt;1000),F48&gt;9999),"Sollkontonummer muss vierstellig sein",IF(VLOOKUP(F48,Kontenplan!$E$9:$E$277,1)&lt;&gt;F48,"Sollkonto existiert nicht",IF(D48=0,"Bitte Beleg-Nr. prüfen",IF(OR(AND(G48&gt;0,G48&lt;1000),G48&gt;9999),"Habenkontonummer muss vierstellig sein",IF(VLOOKUP(G48,Kontenplan!$E$9:$F$277,1)&lt;&gt;G48,"Habenkonto exisitert nicht","")))))))</f>
        <v/>
      </c>
      <c r="O48" s="25" t="str">
        <f t="shared" si="1"/>
        <v/>
      </c>
      <c r="P48" s="25"/>
      <c r="Q48" s="216">
        <v>47</v>
      </c>
      <c r="R48" s="216">
        <v>47.1</v>
      </c>
      <c r="S48" s="25"/>
      <c r="T48" s="25"/>
      <c r="U48" s="25"/>
      <c r="V48" s="25"/>
      <c r="X48" s="25"/>
      <c r="Y48" s="25"/>
    </row>
    <row r="49" spans="1:25">
      <c r="A49">
        <f>IF(OR(F49=Kontoauszug!$H$2,G49=Kontoauszug!$H$2),ROUND(A48+1,0),A48+0.0001)</f>
        <v>1.0041999999999995</v>
      </c>
      <c r="B49" s="16">
        <f>IF(AND(E49&gt;=$B$2,E49&lt;=$B$3,OR(F49=Kontoauszug!$H$2,G49=Kontoauszug!$H$2)),ROUND(B48+1,0),B48+0.0001)</f>
        <v>1.0041999999999995</v>
      </c>
      <c r="C49" s="16">
        <f>IF(H49=Projektabrechnung!$F$2,ROUND(C48+1,0),C48+0.0001)</f>
        <v>4.2999999999999983E-3</v>
      </c>
      <c r="D49" s="17"/>
      <c r="E49" s="18"/>
      <c r="F49" s="19"/>
      <c r="G49" s="20"/>
      <c r="H49" s="195"/>
      <c r="I49" s="21"/>
      <c r="J49" s="22"/>
      <c r="K49" s="98" t="str">
        <f t="shared" si="0"/>
        <v/>
      </c>
      <c r="L49" s="100" t="str">
        <f>IF(F49="","",VLOOKUP(Journal!F49,Kontenplan!$E$9:$F$278,2))</f>
        <v/>
      </c>
      <c r="M49" s="99" t="str">
        <f>IF(G49="","",VLOOKUP(Journal!G49,Kontenplan!$E$9:$F$278,2))</f>
        <v/>
      </c>
      <c r="N49" s="25" t="str">
        <f>IF(AND(G49="",I49="",J49=""),"",IF(AND(I49&gt;0,OR(F49="",G49="")),"Bitte gültige Kontonummer/n eingeben",IF(OR(AND(F49&gt;0,F49&lt;1000),F49&gt;9999),"Sollkontonummer muss vierstellig sein",IF(VLOOKUP(F49,Kontenplan!$E$9:$E$277,1)&lt;&gt;F49,"Sollkonto existiert nicht",IF(D49=0,"Bitte Beleg-Nr. prüfen",IF(OR(AND(G49&gt;0,G49&lt;1000),G49&gt;9999),"Habenkontonummer muss vierstellig sein",IF(VLOOKUP(G49,Kontenplan!$E$9:$F$277,1)&lt;&gt;G49,"Habenkonto exisitert nicht","")))))))</f>
        <v/>
      </c>
      <c r="O49" s="25" t="str">
        <f t="shared" si="1"/>
        <v/>
      </c>
      <c r="P49" s="25"/>
      <c r="Q49" s="216">
        <v>48</v>
      </c>
      <c r="R49" s="216">
        <v>48.1</v>
      </c>
      <c r="S49" s="25"/>
      <c r="T49" s="25"/>
      <c r="U49" s="25"/>
      <c r="V49" s="25"/>
      <c r="X49" s="25"/>
      <c r="Y49" s="25"/>
    </row>
    <row r="50" spans="1:25">
      <c r="A50">
        <f>IF(OR(F50=Kontoauszug!$H$2,G50=Kontoauszug!$H$2),ROUND(A49+1,0),A49+0.0001)</f>
        <v>1.0042999999999995</v>
      </c>
      <c r="B50" s="16">
        <f>IF(AND(E50&gt;=$B$2,E50&lt;=$B$3,OR(F50=Kontoauszug!$H$2,G50=Kontoauszug!$H$2)),ROUND(B49+1,0),B49+0.0001)</f>
        <v>1.0042999999999995</v>
      </c>
      <c r="C50" s="16">
        <f>IF(H50=Projektabrechnung!$F$2,ROUND(C49+1,0),C49+0.0001)</f>
        <v>4.3999999999999985E-3</v>
      </c>
      <c r="D50" s="17"/>
      <c r="E50" s="18"/>
      <c r="F50" s="19"/>
      <c r="G50" s="20"/>
      <c r="H50" s="195"/>
      <c r="I50" s="21"/>
      <c r="J50" s="22"/>
      <c r="K50" s="98" t="str">
        <f t="shared" si="0"/>
        <v/>
      </c>
      <c r="L50" s="100" t="str">
        <f>IF(F50="","",VLOOKUP(Journal!F50,Kontenplan!$E$9:$F$278,2))</f>
        <v/>
      </c>
      <c r="M50" s="99" t="str">
        <f>IF(G50="","",VLOOKUP(Journal!G50,Kontenplan!$E$9:$F$278,2))</f>
        <v/>
      </c>
      <c r="N50" s="25" t="str">
        <f>IF(AND(G50="",I50="",J50=""),"",IF(AND(I50&gt;0,OR(F50="",G50="")),"Bitte gültige Kontonummer/n eingeben",IF(OR(AND(F50&gt;0,F50&lt;1000),F50&gt;9999),"Sollkontonummer muss vierstellig sein",IF(VLOOKUP(F50,Kontenplan!$E$9:$E$277,1)&lt;&gt;F50,"Sollkonto existiert nicht",IF(D50=0,"Bitte Beleg-Nr. prüfen",IF(OR(AND(G50&gt;0,G50&lt;1000),G50&gt;9999),"Habenkontonummer muss vierstellig sein",IF(VLOOKUP(G50,Kontenplan!$E$9:$F$277,1)&lt;&gt;G50,"Habenkonto exisitert nicht","")))))))</f>
        <v/>
      </c>
      <c r="O50" s="25" t="str">
        <f t="shared" si="1"/>
        <v/>
      </c>
      <c r="P50" s="25"/>
      <c r="Q50" s="9">
        <v>49</v>
      </c>
      <c r="R50" s="9">
        <v>49.1</v>
      </c>
      <c r="S50" s="25"/>
      <c r="T50" s="25"/>
      <c r="U50" s="25"/>
      <c r="V50" s="25"/>
      <c r="X50" s="25"/>
      <c r="Y50" s="25"/>
    </row>
    <row r="51" spans="1:25">
      <c r="A51">
        <f>IF(OR(F51=Kontoauszug!$H$2,G51=Kontoauszug!$H$2),ROUND(A50+1,0),A50+0.0001)</f>
        <v>1.0043999999999995</v>
      </c>
      <c r="B51" s="16">
        <f>IF(AND(E51&gt;=$B$2,E51&lt;=$B$3,OR(F51=Kontoauszug!$H$2,G51=Kontoauszug!$H$2)),ROUND(B50+1,0),B50+0.0001)</f>
        <v>1.0043999999999995</v>
      </c>
      <c r="C51" s="16">
        <f>IF(H51=Projektabrechnung!$F$2,ROUND(C50+1,0),C50+0.0001)</f>
        <v>4.4999999999999988E-3</v>
      </c>
      <c r="D51" s="17"/>
      <c r="E51" s="18"/>
      <c r="F51" s="19"/>
      <c r="G51" s="20"/>
      <c r="H51" s="195"/>
      <c r="I51" s="21"/>
      <c r="J51" s="22"/>
      <c r="K51" s="98" t="str">
        <f t="shared" si="0"/>
        <v/>
      </c>
      <c r="L51" s="100" t="str">
        <f>IF(F51="","",VLOOKUP(Journal!F51,Kontenplan!$E$9:$F$278,2))</f>
        <v/>
      </c>
      <c r="M51" s="99" t="str">
        <f>IF(G51="","",VLOOKUP(Journal!G51,Kontenplan!$E$9:$F$278,2))</f>
        <v/>
      </c>
      <c r="N51" s="25" t="str">
        <f>IF(AND(G51="",I51="",J51=""),"",IF(AND(I51&gt;0,OR(F51="",G51="")),"Bitte gültige Kontonummer/n eingeben",IF(OR(AND(F51&gt;0,F51&lt;1000),F51&gt;9999),"Sollkontonummer muss vierstellig sein",IF(VLOOKUP(F51,Kontenplan!$E$9:$E$277,1)&lt;&gt;F51,"Sollkonto existiert nicht",IF(D51=0,"Bitte Beleg-Nr. prüfen",IF(OR(AND(G51&gt;0,G51&lt;1000),G51&gt;9999),"Habenkontonummer muss vierstellig sein",IF(VLOOKUP(G51,Kontenplan!$E$9:$F$277,1)&lt;&gt;G51,"Habenkonto exisitert nicht","")))))))</f>
        <v/>
      </c>
      <c r="O51" s="25" t="str">
        <f t="shared" si="1"/>
        <v/>
      </c>
      <c r="P51" s="25"/>
      <c r="Q51" s="212">
        <v>50</v>
      </c>
      <c r="R51" s="212">
        <v>50.1</v>
      </c>
      <c r="S51" s="25"/>
      <c r="T51" s="25"/>
      <c r="U51" s="25"/>
      <c r="V51" s="25"/>
      <c r="X51" s="25"/>
      <c r="Y51" s="25"/>
    </row>
    <row r="52" spans="1:25">
      <c r="A52">
        <f>IF(OR(F52=Kontoauszug!$H$2,G52=Kontoauszug!$H$2),ROUND(A51+1,0),A51+0.0001)</f>
        <v>1.0044999999999995</v>
      </c>
      <c r="B52" s="16">
        <f>IF(AND(E52&gt;=$B$2,E52&lt;=$B$3,OR(F52=Kontoauszug!$H$2,G52=Kontoauszug!$H$2)),ROUND(B51+1,0),B51+0.0001)</f>
        <v>1.0044999999999995</v>
      </c>
      <c r="C52" s="16">
        <f>IF(H52=Projektabrechnung!$F$2,ROUND(C51+1,0),C51+0.0001)</f>
        <v>4.5999999999999991E-3</v>
      </c>
      <c r="D52" s="17"/>
      <c r="E52" s="18"/>
      <c r="F52" s="19"/>
      <c r="G52" s="20"/>
      <c r="H52" s="195"/>
      <c r="I52" s="21"/>
      <c r="J52" s="22"/>
      <c r="K52" s="98" t="str">
        <f t="shared" si="0"/>
        <v/>
      </c>
      <c r="L52" s="100" t="str">
        <f>IF(F52="","",VLOOKUP(Journal!F52,Kontenplan!$E$9:$F$278,2))</f>
        <v/>
      </c>
      <c r="M52" s="99" t="str">
        <f>IF(G52="","",VLOOKUP(Journal!G52,Kontenplan!$E$9:$F$278,2))</f>
        <v/>
      </c>
      <c r="N52" s="25" t="str">
        <f>IF(AND(G52="",I52="",J52=""),"",IF(AND(I52&gt;0,OR(F52="",G52="")),"Bitte gültige Kontonummer/n eingeben",IF(OR(AND(F52&gt;0,F52&lt;1000),F52&gt;9999),"Sollkontonummer muss vierstellig sein",IF(VLOOKUP(F52,Kontenplan!$E$9:$E$277,1)&lt;&gt;F52,"Sollkonto existiert nicht",IF(D52=0,"Bitte Beleg-Nr. prüfen",IF(OR(AND(G52&gt;0,G52&lt;1000),G52&gt;9999),"Habenkontonummer muss vierstellig sein",IF(VLOOKUP(G52,Kontenplan!$E$9:$F$277,1)&lt;&gt;G52,"Habenkonto exisitert nicht","")))))))</f>
        <v/>
      </c>
      <c r="O52" s="25" t="str">
        <f t="shared" si="1"/>
        <v/>
      </c>
      <c r="P52" s="25"/>
      <c r="Q52" s="216">
        <v>51</v>
      </c>
      <c r="R52" s="216">
        <v>51.1</v>
      </c>
      <c r="S52" s="25"/>
      <c r="T52" s="25"/>
      <c r="U52" s="25"/>
      <c r="V52" s="25"/>
      <c r="X52" s="25"/>
      <c r="Y52" s="25"/>
    </row>
    <row r="53" spans="1:25">
      <c r="A53">
        <f>IF(OR(F53=Kontoauszug!$H$2,G53=Kontoauszug!$H$2),ROUND(A52+1,0),A52+0.0001)</f>
        <v>1.0045999999999995</v>
      </c>
      <c r="B53" s="16">
        <f>IF(AND(E53&gt;=$B$2,E53&lt;=$B$3,OR(F53=Kontoauszug!$H$2,G53=Kontoauszug!$H$2)),ROUND(B52+1,0),B52+0.0001)</f>
        <v>1.0045999999999995</v>
      </c>
      <c r="C53" s="16">
        <f>IF(H53=Projektabrechnung!$F$2,ROUND(C52+1,0),C52+0.0001)</f>
        <v>4.6999999999999993E-3</v>
      </c>
      <c r="D53" s="27"/>
      <c r="E53" s="18"/>
      <c r="F53" s="19"/>
      <c r="G53" s="20"/>
      <c r="H53" s="195"/>
      <c r="I53" s="21"/>
      <c r="J53" s="22"/>
      <c r="K53" s="98" t="str">
        <f t="shared" si="0"/>
        <v/>
      </c>
      <c r="L53" s="100" t="str">
        <f>IF(F53="","",VLOOKUP(Journal!F53,Kontenplan!$E$9:$F$278,2))</f>
        <v/>
      </c>
      <c r="M53" s="99" t="str">
        <f>IF(G53="","",VLOOKUP(Journal!G53,Kontenplan!$E$9:$F$278,2))</f>
        <v/>
      </c>
      <c r="N53" s="25" t="str">
        <f>IF(AND(G53="",I53="",J53=""),"",IF(AND(I53&gt;0,OR(F53="",G53="")),"Bitte gültige Kontonummer/n eingeben",IF(OR(AND(F53&gt;0,F53&lt;1000),F53&gt;9999),"Sollkontonummer muss vierstellig sein",IF(VLOOKUP(F53,Kontenplan!$E$9:$E$277,1)&lt;&gt;F53,"Sollkonto existiert nicht",IF(D53=0,"Bitte Beleg-Nr. prüfen",IF(OR(AND(G53&gt;0,G53&lt;1000),G53&gt;9999),"Habenkontonummer muss vierstellig sein",IF(VLOOKUP(G53,Kontenplan!$E$9:$F$277,1)&lt;&gt;G53,"Habenkonto exisitert nicht","")))))))</f>
        <v/>
      </c>
      <c r="O53" s="25" t="str">
        <f t="shared" si="1"/>
        <v/>
      </c>
      <c r="P53" s="25"/>
      <c r="Q53" s="216">
        <v>52</v>
      </c>
      <c r="R53" s="216">
        <v>52.1</v>
      </c>
      <c r="S53" s="25"/>
      <c r="T53" s="25"/>
      <c r="U53" s="25"/>
      <c r="V53" s="25"/>
      <c r="X53" s="25"/>
      <c r="Y53" s="25"/>
    </row>
    <row r="54" spans="1:25">
      <c r="A54">
        <f>IF(OR(F54=Kontoauszug!$H$2,G54=Kontoauszug!$H$2),ROUND(A53+1,0),A53+0.0001)</f>
        <v>1.0046999999999995</v>
      </c>
      <c r="B54" s="16">
        <f>IF(AND(E54&gt;=$B$2,E54&lt;=$B$3,OR(F54=Kontoauszug!$H$2,G54=Kontoauszug!$H$2)),ROUND(B53+1,0),B53+0.0001)</f>
        <v>1.0046999999999995</v>
      </c>
      <c r="C54" s="16">
        <f>IF(H54=Projektabrechnung!$F$2,ROUND(C53+1,0),C53+0.0001)</f>
        <v>4.7999999999999996E-3</v>
      </c>
      <c r="D54" s="17"/>
      <c r="E54" s="18"/>
      <c r="F54" s="19"/>
      <c r="G54" s="20"/>
      <c r="H54" s="195"/>
      <c r="I54" s="21"/>
      <c r="J54" s="22"/>
      <c r="K54" s="98" t="str">
        <f t="shared" si="0"/>
        <v/>
      </c>
      <c r="L54" s="100" t="str">
        <f>IF(F54="","",VLOOKUP(Journal!F54,Kontenplan!$E$9:$F$278,2))</f>
        <v/>
      </c>
      <c r="M54" s="99" t="str">
        <f>IF(G54="","",VLOOKUP(Journal!G54,Kontenplan!$E$9:$F$278,2))</f>
        <v/>
      </c>
      <c r="N54" s="25" t="str">
        <f>IF(AND(G54="",I54="",J54=""),"",IF(AND(I54&gt;0,OR(F54="",G54="")),"Bitte gültige Kontonummer/n eingeben",IF(OR(AND(F54&gt;0,F54&lt;1000),F54&gt;9999),"Sollkontonummer muss vierstellig sein",IF(VLOOKUP(F54,Kontenplan!$E$9:$E$277,1)&lt;&gt;F54,"Sollkonto existiert nicht",IF(D54=0,"Bitte Beleg-Nr. prüfen",IF(OR(AND(G54&gt;0,G54&lt;1000),G54&gt;9999),"Habenkontonummer muss vierstellig sein",IF(VLOOKUP(G54,Kontenplan!$E$9:$F$277,1)&lt;&gt;G54,"Habenkonto exisitert nicht","")))))))</f>
        <v/>
      </c>
      <c r="O54" s="25" t="str">
        <f t="shared" si="1"/>
        <v/>
      </c>
      <c r="P54" s="25"/>
      <c r="Q54" s="9">
        <v>53</v>
      </c>
      <c r="R54" s="9">
        <v>53.1</v>
      </c>
      <c r="S54" s="25"/>
      <c r="T54" s="25"/>
      <c r="U54" s="25"/>
      <c r="V54" s="25"/>
      <c r="X54" s="25"/>
      <c r="Y54" s="25"/>
    </row>
    <row r="55" spans="1:25">
      <c r="A55">
        <f>IF(OR(F55=Kontoauszug!$H$2,G55=Kontoauszug!$H$2),ROUND(A54+1,0),A54+0.0001)</f>
        <v>1.0047999999999995</v>
      </c>
      <c r="B55" s="16">
        <f>IF(AND(E55&gt;=$B$2,E55&lt;=$B$3,OR(F55=Kontoauszug!$H$2,G55=Kontoauszug!$H$2)),ROUND(B54+1,0),B54+0.0001)</f>
        <v>1.0047999999999995</v>
      </c>
      <c r="C55" s="16">
        <f>IF(H55=Projektabrechnung!$F$2,ROUND(C54+1,0),C54+0.0001)</f>
        <v>4.8999999999999998E-3</v>
      </c>
      <c r="D55" s="17"/>
      <c r="E55" s="18"/>
      <c r="F55" s="19"/>
      <c r="G55" s="20"/>
      <c r="H55" s="195"/>
      <c r="I55" s="21"/>
      <c r="J55" s="22"/>
      <c r="K55" s="98" t="str">
        <f t="shared" si="0"/>
        <v/>
      </c>
      <c r="L55" s="100" t="str">
        <f>IF(F55="","",VLOOKUP(Journal!F55,Kontenplan!$E$9:$F$278,2))</f>
        <v/>
      </c>
      <c r="M55" s="99" t="str">
        <f>IF(G55="","",VLOOKUP(Journal!G55,Kontenplan!$E$9:$F$278,2))</f>
        <v/>
      </c>
      <c r="N55" s="25" t="str">
        <f>IF(AND(G55="",I55="",J55=""),"",IF(AND(I55&gt;0,OR(F55="",G55="")),"Bitte gültige Kontonummer/n eingeben",IF(OR(AND(F55&gt;0,F55&lt;1000),F55&gt;9999),"Sollkontonummer muss vierstellig sein",IF(VLOOKUP(F55,Kontenplan!$E$9:$E$277,1)&lt;&gt;F55,"Sollkonto existiert nicht",IF(D55=0,"Bitte Beleg-Nr. prüfen",IF(OR(AND(G55&gt;0,G55&lt;1000),G55&gt;9999),"Habenkontonummer muss vierstellig sein",IF(VLOOKUP(G55,Kontenplan!$E$9:$F$277,1)&lt;&gt;G55,"Habenkonto exisitert nicht","")))))))</f>
        <v/>
      </c>
      <c r="O55" s="25" t="str">
        <f t="shared" si="1"/>
        <v/>
      </c>
      <c r="P55" s="25"/>
      <c r="Q55" s="212">
        <v>54</v>
      </c>
      <c r="R55" s="212">
        <v>54.1</v>
      </c>
      <c r="S55" s="25"/>
      <c r="T55" s="25"/>
      <c r="U55" s="25"/>
      <c r="V55" s="25"/>
      <c r="X55" s="25"/>
      <c r="Y55" s="25"/>
    </row>
    <row r="56" spans="1:25">
      <c r="A56">
        <f>IF(OR(F56=Kontoauszug!$H$2,G56=Kontoauszug!$H$2),ROUND(A55+1,0),A55+0.0001)</f>
        <v>1.0048999999999995</v>
      </c>
      <c r="B56" s="16">
        <f>IF(AND(E56&gt;=$B$2,E56&lt;=$B$3,OR(F56=Kontoauszug!$H$2,G56=Kontoauszug!$H$2)),ROUND(B55+1,0),B55+0.0001)</f>
        <v>1.0048999999999995</v>
      </c>
      <c r="C56" s="16">
        <f>IF(H56=Projektabrechnung!$F$2,ROUND(C55+1,0),C55+0.0001)</f>
        <v>5.0000000000000001E-3</v>
      </c>
      <c r="D56" s="17"/>
      <c r="E56" s="18"/>
      <c r="F56" s="19"/>
      <c r="G56" s="20"/>
      <c r="H56" s="195"/>
      <c r="I56" s="21"/>
      <c r="J56" s="22"/>
      <c r="K56" s="98" t="str">
        <f t="shared" si="0"/>
        <v/>
      </c>
      <c r="L56" s="100" t="str">
        <f>IF(F56="","",VLOOKUP(Journal!F56,Kontenplan!$E$9:$F$278,2))</f>
        <v/>
      </c>
      <c r="M56" s="99" t="str">
        <f>IF(G56="","",VLOOKUP(Journal!G56,Kontenplan!$E$9:$F$278,2))</f>
        <v/>
      </c>
      <c r="N56" s="25" t="str">
        <f>IF(AND(G56="",I56="",J56=""),"",IF(AND(I56&gt;0,OR(F56="",G56="")),"Bitte gültige Kontonummer/n eingeben",IF(OR(AND(F56&gt;0,F56&lt;1000),F56&gt;9999),"Sollkontonummer muss vierstellig sein",IF(VLOOKUP(F56,Kontenplan!$E$9:$E$277,1)&lt;&gt;F56,"Sollkonto existiert nicht",IF(D56=0,"Bitte Beleg-Nr. prüfen",IF(OR(AND(G56&gt;0,G56&lt;1000),G56&gt;9999),"Habenkontonummer muss vierstellig sein",IF(VLOOKUP(G56,Kontenplan!$E$9:$F$277,1)&lt;&gt;G56,"Habenkonto exisitert nicht","")))))))</f>
        <v/>
      </c>
      <c r="O56" s="25" t="str">
        <f t="shared" si="1"/>
        <v/>
      </c>
      <c r="P56" s="25"/>
      <c r="Q56" s="216">
        <v>55</v>
      </c>
      <c r="R56" s="216">
        <v>55.1</v>
      </c>
      <c r="S56" s="25"/>
      <c r="T56" s="25"/>
      <c r="U56" s="25"/>
      <c r="V56" s="25"/>
      <c r="X56" s="25"/>
      <c r="Y56" s="25"/>
    </row>
    <row r="57" spans="1:25">
      <c r="A57">
        <f>IF(OR(F57=Kontoauszug!$H$2,G57=Kontoauszug!$H$2),ROUND(A56+1,0),A56+0.0001)</f>
        <v>1.0049999999999994</v>
      </c>
      <c r="B57" s="16">
        <f>IF(AND(E57&gt;=$B$2,E57&lt;=$B$3,OR(F57=Kontoauszug!$H$2,G57=Kontoauszug!$H$2)),ROUND(B56+1,0),B56+0.0001)</f>
        <v>1.0049999999999994</v>
      </c>
      <c r="C57" s="16">
        <f>IF(H57=Projektabrechnung!$F$2,ROUND(C56+1,0),C56+0.0001)</f>
        <v>5.1000000000000004E-3</v>
      </c>
      <c r="D57" s="17"/>
      <c r="E57" s="18"/>
      <c r="F57" s="19"/>
      <c r="G57" s="20"/>
      <c r="H57" s="195"/>
      <c r="I57" s="21"/>
      <c r="J57" s="22"/>
      <c r="K57" s="98" t="str">
        <f t="shared" si="0"/>
        <v/>
      </c>
      <c r="L57" s="100" t="str">
        <f>IF(F57="","",VLOOKUP(Journal!F57,Kontenplan!$E$9:$F$278,2))</f>
        <v/>
      </c>
      <c r="M57" s="99" t="str">
        <f>IF(G57="","",VLOOKUP(Journal!G57,Kontenplan!$E$9:$F$278,2))</f>
        <v/>
      </c>
      <c r="N57" s="25" t="str">
        <f>IF(AND(G57="",I57="",J57=""),"",IF(AND(I57&gt;0,OR(F57="",G57="")),"Bitte gültige Kontonummer/n eingeben",IF(OR(AND(F57&gt;0,F57&lt;1000),F57&gt;9999),"Sollkontonummer muss vierstellig sein",IF(VLOOKUP(F57,Kontenplan!$E$9:$E$277,1)&lt;&gt;F57,"Sollkonto existiert nicht",IF(D57=0,"Bitte Beleg-Nr. prüfen",IF(OR(AND(G57&gt;0,G57&lt;1000),G57&gt;9999),"Habenkontonummer muss vierstellig sein",IF(VLOOKUP(G57,Kontenplan!$E$9:$F$277,1)&lt;&gt;G57,"Habenkonto exisitert nicht","")))))))</f>
        <v/>
      </c>
      <c r="O57" s="25" t="str">
        <f t="shared" si="1"/>
        <v/>
      </c>
      <c r="P57" s="25"/>
      <c r="Q57" s="216">
        <v>56</v>
      </c>
      <c r="R57" s="216">
        <v>56.1</v>
      </c>
      <c r="S57" s="25"/>
      <c r="T57" s="25"/>
      <c r="U57" s="25"/>
      <c r="V57" s="25"/>
      <c r="X57" s="25"/>
      <c r="Y57" s="25"/>
    </row>
    <row r="58" spans="1:25">
      <c r="A58">
        <f>IF(OR(F58=Kontoauszug!$H$2,G58=Kontoauszug!$H$2),ROUND(A57+1,0),A57+0.0001)</f>
        <v>1.0050999999999994</v>
      </c>
      <c r="B58" s="16">
        <f>IF(AND(E58&gt;=$B$2,E58&lt;=$B$3,OR(F58=Kontoauszug!$H$2,G58=Kontoauszug!$H$2)),ROUND(B57+1,0),B57+0.0001)</f>
        <v>1.0050999999999994</v>
      </c>
      <c r="C58" s="16">
        <f>IF(H58=Projektabrechnung!$F$2,ROUND(C57+1,0),C57+0.0001)</f>
        <v>5.2000000000000006E-3</v>
      </c>
      <c r="D58" s="17"/>
      <c r="E58" s="18"/>
      <c r="F58" s="19"/>
      <c r="G58" s="20"/>
      <c r="H58" s="195"/>
      <c r="I58" s="21"/>
      <c r="J58" s="22"/>
      <c r="K58" s="98" t="str">
        <f t="shared" si="0"/>
        <v/>
      </c>
      <c r="L58" s="100" t="str">
        <f>IF(F58="","",VLOOKUP(Journal!F58,Kontenplan!$E$9:$F$278,2))</f>
        <v/>
      </c>
      <c r="M58" s="99" t="str">
        <f>IF(G58="","",VLOOKUP(Journal!G58,Kontenplan!$E$9:$F$278,2))</f>
        <v/>
      </c>
      <c r="N58" s="25" t="str">
        <f>IF(AND(G58="",I58="",J58=""),"",IF(AND(I58&gt;0,OR(F58="",G58="")),"Bitte gültige Kontonummer/n eingeben",IF(OR(AND(F58&gt;0,F58&lt;1000),F58&gt;9999),"Sollkontonummer muss vierstellig sein",IF(VLOOKUP(F58,Kontenplan!$E$9:$E$277,1)&lt;&gt;F58,"Sollkonto existiert nicht",IF(D58=0,"Bitte Beleg-Nr. prüfen",IF(OR(AND(G58&gt;0,G58&lt;1000),G58&gt;9999),"Habenkontonummer muss vierstellig sein",IF(VLOOKUP(G58,Kontenplan!$E$9:$F$277,1)&lt;&gt;G58,"Habenkonto exisitert nicht","")))))))</f>
        <v/>
      </c>
      <c r="O58" s="25" t="str">
        <f t="shared" si="1"/>
        <v/>
      </c>
      <c r="P58" s="25"/>
      <c r="Q58" s="9">
        <v>57</v>
      </c>
      <c r="R58" s="9">
        <v>57.1</v>
      </c>
      <c r="S58" s="25"/>
      <c r="T58" s="25"/>
      <c r="U58" s="25"/>
      <c r="V58" s="25"/>
      <c r="X58" s="25"/>
      <c r="Y58" s="25"/>
    </row>
    <row r="59" spans="1:25">
      <c r="A59">
        <f>IF(OR(F59=Kontoauszug!$H$2,G59=Kontoauszug!$H$2),ROUND(A58+1,0),A58+0.0001)</f>
        <v>1.0051999999999994</v>
      </c>
      <c r="B59" s="16">
        <f>IF(AND(E59&gt;=$B$2,E59&lt;=$B$3,OR(F59=Kontoauszug!$H$2,G59=Kontoauszug!$H$2)),ROUND(B58+1,0),B58+0.0001)</f>
        <v>1.0051999999999994</v>
      </c>
      <c r="C59" s="16">
        <f>IF(H59=Projektabrechnung!$F$2,ROUND(C58+1,0),C58+0.0001)</f>
        <v>5.3000000000000009E-3</v>
      </c>
      <c r="D59" s="27"/>
      <c r="E59" s="18"/>
      <c r="F59" s="19"/>
      <c r="G59" s="20"/>
      <c r="H59" s="195"/>
      <c r="I59" s="21"/>
      <c r="J59" s="22"/>
      <c r="K59" s="98" t="str">
        <f t="shared" si="0"/>
        <v/>
      </c>
      <c r="L59" s="100" t="str">
        <f>IF(F59="","",VLOOKUP(Journal!F59,Kontenplan!$E$9:$F$278,2))</f>
        <v/>
      </c>
      <c r="M59" s="99" t="str">
        <f>IF(G59="","",VLOOKUP(Journal!G59,Kontenplan!$E$9:$F$278,2))</f>
        <v/>
      </c>
      <c r="N59" s="25" t="str">
        <f>IF(AND(G59="",I59="",J59=""),"",IF(AND(I59&gt;0,OR(F59="",G59="")),"Bitte gültige Kontonummer/n eingeben",IF(OR(AND(F59&gt;0,F59&lt;1000),F59&gt;9999),"Sollkontonummer muss vierstellig sein",IF(VLOOKUP(F59,Kontenplan!$E$9:$E$277,1)&lt;&gt;F59,"Sollkonto existiert nicht",IF(D59=0,"Bitte Beleg-Nr. prüfen",IF(OR(AND(G59&gt;0,G59&lt;1000),G59&gt;9999),"Habenkontonummer muss vierstellig sein",IF(VLOOKUP(G59,Kontenplan!$E$9:$F$277,1)&lt;&gt;G59,"Habenkonto exisitert nicht","")))))))</f>
        <v/>
      </c>
      <c r="O59" s="25" t="str">
        <f t="shared" si="1"/>
        <v/>
      </c>
      <c r="P59" s="25"/>
      <c r="Q59" s="212">
        <v>58</v>
      </c>
      <c r="R59" s="212">
        <v>58.1</v>
      </c>
      <c r="S59" s="25"/>
      <c r="T59" s="25"/>
      <c r="U59" s="25"/>
      <c r="V59" s="25"/>
      <c r="X59" s="25"/>
      <c r="Y59" s="25"/>
    </row>
    <row r="60" spans="1:25">
      <c r="A60">
        <f>IF(OR(F60=Kontoauszug!$H$2,G60=Kontoauszug!$H$2),ROUND(A59+1,0),A59+0.0001)</f>
        <v>1.0052999999999994</v>
      </c>
      <c r="B60" s="16">
        <f>IF(AND(E60&gt;=$B$2,E60&lt;=$B$3,OR(F60=Kontoauszug!$H$2,G60=Kontoauszug!$H$2)),ROUND(B59+1,0),B59+0.0001)</f>
        <v>1.0052999999999994</v>
      </c>
      <c r="C60" s="16">
        <f>IF(H60=Projektabrechnung!$F$2,ROUND(C59+1,0),C59+0.0001)</f>
        <v>5.4000000000000012E-3</v>
      </c>
      <c r="D60" s="27"/>
      <c r="E60" s="18"/>
      <c r="F60" s="19"/>
      <c r="G60" s="20"/>
      <c r="H60" s="195"/>
      <c r="I60" s="21"/>
      <c r="J60" s="22"/>
      <c r="K60" s="98" t="str">
        <f t="shared" si="0"/>
        <v/>
      </c>
      <c r="L60" s="100" t="str">
        <f>IF(F60="","",VLOOKUP(Journal!F60,Kontenplan!$E$9:$F$278,2))</f>
        <v/>
      </c>
      <c r="M60" s="99" t="str">
        <f>IF(G60="","",VLOOKUP(Journal!G60,Kontenplan!$E$9:$F$278,2))</f>
        <v/>
      </c>
      <c r="N60" s="25" t="str">
        <f>IF(AND(G60="",I60="",J60=""),"",IF(AND(I60&gt;0,OR(F60="",G60="")),"Bitte gültige Kontonummer/n eingeben",IF(OR(AND(F60&gt;0,F60&lt;1000),F60&gt;9999),"Sollkontonummer muss vierstellig sein",IF(VLOOKUP(F60,Kontenplan!$E$9:$E$277,1)&lt;&gt;F60,"Sollkonto existiert nicht",IF(D60=0,"Bitte Beleg-Nr. prüfen",IF(OR(AND(G60&gt;0,G60&lt;1000),G60&gt;9999),"Habenkontonummer muss vierstellig sein",IF(VLOOKUP(G60,Kontenplan!$E$9:$F$277,1)&lt;&gt;G60,"Habenkonto exisitert nicht","")))))))</f>
        <v/>
      </c>
      <c r="O60" s="25" t="str">
        <f t="shared" si="1"/>
        <v/>
      </c>
      <c r="P60" s="25"/>
      <c r="Q60" s="216">
        <v>59</v>
      </c>
      <c r="R60" s="216">
        <v>59.1</v>
      </c>
      <c r="S60" s="25"/>
      <c r="T60" s="25"/>
      <c r="U60" s="25"/>
      <c r="V60" s="25"/>
      <c r="X60" s="25"/>
      <c r="Y60" s="25"/>
    </row>
    <row r="61" spans="1:25">
      <c r="A61">
        <f>IF(OR(F61=Kontoauszug!$H$2,G61=Kontoauszug!$H$2),ROUND(A60+1,0),A60+0.0001)</f>
        <v>1.0053999999999994</v>
      </c>
      <c r="B61" s="16">
        <f>IF(AND(E61&gt;=$B$2,E61&lt;=$B$3,OR(F61=Kontoauszug!$H$2,G61=Kontoauszug!$H$2)),ROUND(B60+1,0),B60+0.0001)</f>
        <v>1.0053999999999994</v>
      </c>
      <c r="C61" s="16">
        <f>IF(H61=Projektabrechnung!$F$2,ROUND(C60+1,0),C60+0.0001)</f>
        <v>5.5000000000000014E-3</v>
      </c>
      <c r="D61" s="17"/>
      <c r="E61" s="18"/>
      <c r="F61" s="19"/>
      <c r="G61" s="20"/>
      <c r="H61" s="195"/>
      <c r="I61" s="21"/>
      <c r="J61" s="22"/>
      <c r="K61" s="98" t="str">
        <f t="shared" si="0"/>
        <v/>
      </c>
      <c r="L61" s="100" t="str">
        <f>IF(F61="","",VLOOKUP(Journal!F61,Kontenplan!$E$9:$F$278,2))</f>
        <v/>
      </c>
      <c r="M61" s="99" t="str">
        <f>IF(G61="","",VLOOKUP(Journal!G61,Kontenplan!$E$9:$F$278,2))</f>
        <v/>
      </c>
      <c r="N61" s="25" t="str">
        <f>IF(AND(G61="",I61="",J61=""),"",IF(AND(I61&gt;0,OR(F61="",G61="")),"Bitte gültige Kontonummer/n eingeben",IF(OR(AND(F61&gt;0,F61&lt;1000),F61&gt;9999),"Sollkontonummer muss vierstellig sein",IF(VLOOKUP(F61,Kontenplan!$E$9:$E$277,1)&lt;&gt;F61,"Sollkonto existiert nicht",IF(D61=0,"Bitte Beleg-Nr. prüfen",IF(OR(AND(G61&gt;0,G61&lt;1000),G61&gt;9999),"Habenkontonummer muss vierstellig sein",IF(VLOOKUP(G61,Kontenplan!$E$9:$F$277,1)&lt;&gt;G61,"Habenkonto exisitert nicht","")))))))</f>
        <v/>
      </c>
      <c r="O61" s="25" t="str">
        <f t="shared" si="1"/>
        <v/>
      </c>
      <c r="P61" s="25"/>
      <c r="Q61" s="216">
        <v>60</v>
      </c>
      <c r="R61" s="216">
        <v>60.1</v>
      </c>
      <c r="S61" s="25"/>
      <c r="T61" s="25"/>
      <c r="U61" s="25"/>
      <c r="V61" s="25"/>
      <c r="X61" s="25"/>
      <c r="Y61" s="25"/>
    </row>
    <row r="62" spans="1:25">
      <c r="A62">
        <f>IF(OR(F62=Kontoauszug!$H$2,G62=Kontoauszug!$H$2),ROUND(A61+1,0),A61+0.0001)</f>
        <v>1.0054999999999994</v>
      </c>
      <c r="B62" s="16">
        <f>IF(AND(E62&gt;=$B$2,E62&lt;=$B$3,OR(F62=Kontoauszug!$H$2,G62=Kontoauszug!$H$2)),ROUND(B61+1,0),B61+0.0001)</f>
        <v>1.0054999999999994</v>
      </c>
      <c r="C62" s="16">
        <f>IF(H62=Projektabrechnung!$F$2,ROUND(C61+1,0),C61+0.0001)</f>
        <v>5.6000000000000017E-3</v>
      </c>
      <c r="D62" s="17"/>
      <c r="E62" s="18"/>
      <c r="F62" s="19"/>
      <c r="G62" s="20"/>
      <c r="H62" s="195"/>
      <c r="I62" s="21"/>
      <c r="J62" s="22"/>
      <c r="K62" s="98" t="str">
        <f t="shared" si="0"/>
        <v/>
      </c>
      <c r="L62" s="100" t="str">
        <f>IF(F62="","",VLOOKUP(Journal!F62,Kontenplan!$E$9:$F$278,2))</f>
        <v/>
      </c>
      <c r="M62" s="99" t="str">
        <f>IF(G62="","",VLOOKUP(Journal!G62,Kontenplan!$E$9:$F$278,2))</f>
        <v/>
      </c>
      <c r="N62" s="25" t="str">
        <f>IF(AND(G62="",I62="",J62=""),"",IF(AND(I62&gt;0,OR(F62="",G62="")),"Bitte gültige Kontonummer/n eingeben",IF(OR(AND(F62&gt;0,F62&lt;1000),F62&gt;9999),"Sollkontonummer muss vierstellig sein",IF(VLOOKUP(F62,Kontenplan!$E$9:$E$277,1)&lt;&gt;F62,"Sollkonto existiert nicht",IF(D62=0,"Bitte Beleg-Nr. prüfen",IF(OR(AND(G62&gt;0,G62&lt;1000),G62&gt;9999),"Habenkontonummer muss vierstellig sein",IF(VLOOKUP(G62,Kontenplan!$E$9:$F$277,1)&lt;&gt;G62,"Habenkonto exisitert nicht","")))))))</f>
        <v/>
      </c>
      <c r="O62" s="25" t="str">
        <f t="shared" si="1"/>
        <v/>
      </c>
      <c r="P62" s="25"/>
      <c r="Q62" s="9">
        <v>61</v>
      </c>
      <c r="R62" s="9">
        <v>61.1</v>
      </c>
      <c r="S62" s="25"/>
      <c r="T62" s="25"/>
      <c r="U62" s="25"/>
      <c r="V62" s="25"/>
      <c r="X62" s="25"/>
      <c r="Y62" s="25"/>
    </row>
    <row r="63" spans="1:25">
      <c r="A63">
        <f>IF(OR(F63=Kontoauszug!$H$2,G63=Kontoauszug!$H$2),ROUND(A62+1,0),A62+0.0001)</f>
        <v>1.0055999999999994</v>
      </c>
      <c r="B63" s="16">
        <f>IF(AND(E63&gt;=$B$2,E63&lt;=$B$3,OR(F63=Kontoauszug!$H$2,G63=Kontoauszug!$H$2)),ROUND(B62+1,0),B62+0.0001)</f>
        <v>1.0055999999999994</v>
      </c>
      <c r="C63" s="16">
        <f>IF(H63=Projektabrechnung!$F$2,ROUND(C62+1,0),C62+0.0001)</f>
        <v>5.7000000000000019E-3</v>
      </c>
      <c r="D63" s="17"/>
      <c r="E63" s="18"/>
      <c r="F63" s="19"/>
      <c r="G63" s="20"/>
      <c r="H63" s="195"/>
      <c r="I63" s="21"/>
      <c r="J63" s="22"/>
      <c r="K63" s="98" t="str">
        <f t="shared" si="0"/>
        <v/>
      </c>
      <c r="L63" s="100" t="str">
        <f>IF(F63="","",VLOOKUP(Journal!F63,Kontenplan!$E$9:$F$278,2))</f>
        <v/>
      </c>
      <c r="M63" s="99" t="str">
        <f>IF(G63="","",VLOOKUP(Journal!G63,Kontenplan!$E$9:$F$278,2))</f>
        <v/>
      </c>
      <c r="N63" s="25" t="str">
        <f>IF(AND(G63="",I63="",J63=""),"",IF(AND(I63&gt;0,OR(F63="",G63="")),"Bitte gültige Kontonummer/n eingeben",IF(OR(AND(F63&gt;0,F63&lt;1000),F63&gt;9999),"Sollkontonummer muss vierstellig sein",IF(VLOOKUP(F63,Kontenplan!$E$9:$E$277,1)&lt;&gt;F63,"Sollkonto existiert nicht",IF(D63=0,"Bitte Beleg-Nr. prüfen",IF(OR(AND(G63&gt;0,G63&lt;1000),G63&gt;9999),"Habenkontonummer muss vierstellig sein",IF(VLOOKUP(G63,Kontenplan!$E$9:$F$277,1)&lt;&gt;G63,"Habenkonto exisitert nicht","")))))))</f>
        <v/>
      </c>
      <c r="O63" s="25" t="str">
        <f t="shared" si="1"/>
        <v/>
      </c>
      <c r="P63" s="25"/>
      <c r="Q63" s="212">
        <v>62</v>
      </c>
      <c r="R63" s="212">
        <v>62.1</v>
      </c>
      <c r="S63" s="25"/>
      <c r="T63" s="25"/>
      <c r="U63" s="25"/>
      <c r="V63" s="25"/>
      <c r="X63" s="25"/>
      <c r="Y63" s="25"/>
    </row>
    <row r="64" spans="1:25">
      <c r="A64">
        <f>IF(OR(F64=Kontoauszug!$H$2,G64=Kontoauszug!$H$2),ROUND(A63+1,0),A63+0.0001)</f>
        <v>1.0056999999999994</v>
      </c>
      <c r="B64" s="16">
        <f>IF(AND(E64&gt;=$B$2,E64&lt;=$B$3,OR(F64=Kontoauszug!$H$2,G64=Kontoauszug!$H$2)),ROUND(B63+1,0),B63+0.0001)</f>
        <v>1.0056999999999994</v>
      </c>
      <c r="C64" s="16">
        <f>IF(H64=Projektabrechnung!$F$2,ROUND(C63+1,0),C63+0.0001)</f>
        <v>5.8000000000000022E-3</v>
      </c>
      <c r="D64" s="17"/>
      <c r="E64" s="18"/>
      <c r="F64" s="19"/>
      <c r="G64" s="20"/>
      <c r="H64" s="195"/>
      <c r="I64" s="21"/>
      <c r="J64" s="22"/>
      <c r="K64" s="98" t="str">
        <f t="shared" si="0"/>
        <v/>
      </c>
      <c r="L64" s="100" t="str">
        <f>IF(F64="","",VLOOKUP(Journal!F64,Kontenplan!$E$9:$F$278,2))</f>
        <v/>
      </c>
      <c r="M64" s="99" t="str">
        <f>IF(G64="","",VLOOKUP(Journal!G64,Kontenplan!$E$9:$F$278,2))</f>
        <v/>
      </c>
      <c r="N64" s="25" t="str">
        <f>IF(AND(G64="",I64="",J64=""),"",IF(AND(I64&gt;0,OR(F64="",G64="")),"Bitte gültige Kontonummer/n eingeben",IF(OR(AND(F64&gt;0,F64&lt;1000),F64&gt;9999),"Sollkontonummer muss vierstellig sein",IF(VLOOKUP(F64,Kontenplan!$E$9:$E$277,1)&lt;&gt;F64,"Sollkonto existiert nicht",IF(D64=0,"Bitte Beleg-Nr. prüfen",IF(OR(AND(G64&gt;0,G64&lt;1000),G64&gt;9999),"Habenkontonummer muss vierstellig sein",IF(VLOOKUP(G64,Kontenplan!$E$9:$F$277,1)&lt;&gt;G64,"Habenkonto exisitert nicht","")))))))</f>
        <v/>
      </c>
      <c r="O64" s="25" t="str">
        <f t="shared" si="1"/>
        <v/>
      </c>
      <c r="P64" s="25"/>
      <c r="Q64" s="216">
        <v>63</v>
      </c>
      <c r="R64" s="216">
        <v>63.1</v>
      </c>
      <c r="S64" s="25"/>
      <c r="T64" s="25"/>
      <c r="U64" s="25"/>
      <c r="V64" s="25"/>
      <c r="X64" s="25"/>
      <c r="Y64" s="25"/>
    </row>
    <row r="65" spans="1:25">
      <c r="A65">
        <f>IF(OR(F65=Kontoauszug!$H$2,G65=Kontoauszug!$H$2),ROUND(A64+1,0),A64+0.0001)</f>
        <v>1.0057999999999994</v>
      </c>
      <c r="B65" s="16">
        <f>IF(AND(E65&gt;=$B$2,E65&lt;=$B$3,OR(F65=Kontoauszug!$H$2,G65=Kontoauszug!$H$2)),ROUND(B64+1,0),B64+0.0001)</f>
        <v>1.0057999999999994</v>
      </c>
      <c r="C65" s="16">
        <f>IF(H65=Projektabrechnung!$F$2,ROUND(C64+1,0),C64+0.0001)</f>
        <v>5.9000000000000025E-3</v>
      </c>
      <c r="D65" s="27"/>
      <c r="E65" s="18"/>
      <c r="F65" s="19"/>
      <c r="G65" s="20"/>
      <c r="H65" s="195"/>
      <c r="I65" s="21"/>
      <c r="J65" s="22"/>
      <c r="K65" s="98" t="str">
        <f t="shared" si="0"/>
        <v/>
      </c>
      <c r="L65" s="100" t="str">
        <f>IF(F65="","",VLOOKUP(Journal!F65,Kontenplan!$E$9:$F$278,2))</f>
        <v/>
      </c>
      <c r="M65" s="99" t="str">
        <f>IF(G65="","",VLOOKUP(Journal!G65,Kontenplan!$E$9:$F$278,2))</f>
        <v/>
      </c>
      <c r="N65" s="25" t="str">
        <f>IF(AND(G65="",I65="",J65=""),"",IF(AND(I65&gt;0,OR(F65="",G65="")),"Bitte gültige Kontonummer/n eingeben",IF(OR(AND(F65&gt;0,F65&lt;1000),F65&gt;9999),"Sollkontonummer muss vierstellig sein",IF(VLOOKUP(F65,Kontenplan!$E$9:$E$277,1)&lt;&gt;F65,"Sollkonto existiert nicht",IF(D65=0,"Bitte Beleg-Nr. prüfen",IF(OR(AND(G65&gt;0,G65&lt;1000),G65&gt;9999),"Habenkontonummer muss vierstellig sein",IF(VLOOKUP(G65,Kontenplan!$E$9:$F$277,1)&lt;&gt;G65,"Habenkonto exisitert nicht","")))))))</f>
        <v/>
      </c>
      <c r="O65" s="25" t="str">
        <f t="shared" si="1"/>
        <v/>
      </c>
      <c r="P65" s="25"/>
      <c r="Q65" s="216">
        <v>64</v>
      </c>
      <c r="R65" s="216">
        <v>64.099999999999994</v>
      </c>
      <c r="S65" s="25"/>
      <c r="T65" s="25"/>
      <c r="U65" s="25"/>
      <c r="V65" s="25"/>
      <c r="X65" s="25"/>
      <c r="Y65" s="25"/>
    </row>
    <row r="66" spans="1:25">
      <c r="A66">
        <f>IF(OR(F66=Kontoauszug!$H$2,G66=Kontoauszug!$H$2),ROUND(A65+1,0),A65+0.0001)</f>
        <v>1.0058999999999994</v>
      </c>
      <c r="B66" s="16">
        <f>IF(AND(E66&gt;=$B$2,E66&lt;=$B$3,OR(F66=Kontoauszug!$H$2,G66=Kontoauszug!$H$2)),ROUND(B65+1,0),B65+0.0001)</f>
        <v>1.0058999999999994</v>
      </c>
      <c r="C66" s="16">
        <f>IF(H66=Projektabrechnung!$F$2,ROUND(C65+1,0),C65+0.0001)</f>
        <v>6.0000000000000027E-3</v>
      </c>
      <c r="D66" s="17"/>
      <c r="E66" s="18"/>
      <c r="F66" s="19"/>
      <c r="G66" s="20"/>
      <c r="H66" s="195"/>
      <c r="I66" s="21"/>
      <c r="J66" s="22"/>
      <c r="K66" s="98" t="str">
        <f t="shared" si="0"/>
        <v/>
      </c>
      <c r="L66" s="100" t="str">
        <f>IF(F66="","",VLOOKUP(Journal!F66,Kontenplan!$E$9:$F$278,2))</f>
        <v/>
      </c>
      <c r="M66" s="99" t="str">
        <f>IF(G66="","",VLOOKUP(Journal!G66,Kontenplan!$E$9:$F$278,2))</f>
        <v/>
      </c>
      <c r="N66" s="25" t="str">
        <f>IF(AND(G66="",I66="",J66=""),"",IF(AND(I66&gt;0,OR(F66="",G66="")),"Bitte gültige Kontonummer/n eingeben",IF(OR(AND(F66&gt;0,F66&lt;1000),F66&gt;9999),"Sollkontonummer muss vierstellig sein",IF(VLOOKUP(F66,Kontenplan!$E$9:$E$277,1)&lt;&gt;F66,"Sollkonto existiert nicht",IF(D66=0,"Bitte Beleg-Nr. prüfen",IF(OR(AND(G66&gt;0,G66&lt;1000),G66&gt;9999),"Habenkontonummer muss vierstellig sein",IF(VLOOKUP(G66,Kontenplan!$E$9:$F$277,1)&lt;&gt;G66,"Habenkonto exisitert nicht","")))))))</f>
        <v/>
      </c>
      <c r="O66" s="25" t="str">
        <f t="shared" si="1"/>
        <v/>
      </c>
      <c r="P66" s="25"/>
      <c r="Q66" s="9">
        <v>65</v>
      </c>
      <c r="R66" s="9">
        <v>65.099999999999994</v>
      </c>
      <c r="S66" s="25"/>
      <c r="T66" s="25"/>
      <c r="U66" s="25"/>
      <c r="V66" s="25"/>
      <c r="X66" s="25"/>
      <c r="Y66" s="25"/>
    </row>
    <row r="67" spans="1:25">
      <c r="A67">
        <f>IF(OR(F67=Kontoauszug!$H$2,G67=Kontoauszug!$H$2),ROUND(A66+1,0),A66+0.0001)</f>
        <v>1.0059999999999993</v>
      </c>
      <c r="B67" s="16">
        <f>IF(AND(E67&gt;=$B$2,E67&lt;=$B$3,OR(F67=Kontoauszug!$H$2,G67=Kontoauszug!$H$2)),ROUND(B66+1,0),B66+0.0001)</f>
        <v>1.0059999999999993</v>
      </c>
      <c r="C67" s="16">
        <f>IF(H67=Projektabrechnung!$F$2,ROUND(C66+1,0),C66+0.0001)</f>
        <v>6.100000000000003E-3</v>
      </c>
      <c r="D67" s="17"/>
      <c r="E67" s="18"/>
      <c r="F67" s="19"/>
      <c r="G67" s="20"/>
      <c r="H67" s="195"/>
      <c r="I67" s="21"/>
      <c r="J67" s="22"/>
      <c r="K67" s="98" t="str">
        <f t="shared" si="0"/>
        <v/>
      </c>
      <c r="L67" s="100" t="str">
        <f>IF(F67="","",VLOOKUP(Journal!F67,Kontenplan!$E$9:$F$278,2))</f>
        <v/>
      </c>
      <c r="M67" s="99" t="str">
        <f>IF(G67="","",VLOOKUP(Journal!G67,Kontenplan!$E$9:$F$278,2))</f>
        <v/>
      </c>
      <c r="N67" s="25" t="str">
        <f>IF(AND(G67="",I67="",J67=""),"",IF(AND(I67&gt;0,OR(F67="",G67="")),"Bitte gültige Kontonummer/n eingeben",IF(OR(AND(F67&gt;0,F67&lt;1000),F67&gt;9999),"Sollkontonummer muss vierstellig sein",IF(VLOOKUP(F67,Kontenplan!$E$9:$E$277,1)&lt;&gt;F67,"Sollkonto existiert nicht",IF(D67=0,"Bitte Beleg-Nr. prüfen",IF(OR(AND(G67&gt;0,G67&lt;1000),G67&gt;9999),"Habenkontonummer muss vierstellig sein",IF(VLOOKUP(G67,Kontenplan!$E$9:$F$277,1)&lt;&gt;G67,"Habenkonto exisitert nicht","")))))))</f>
        <v/>
      </c>
      <c r="O67" s="25" t="str">
        <f t="shared" si="1"/>
        <v/>
      </c>
      <c r="P67" s="25"/>
      <c r="Q67" s="212">
        <v>66</v>
      </c>
      <c r="R67" s="212">
        <v>66.099999999999994</v>
      </c>
      <c r="S67" s="25"/>
      <c r="T67" s="25"/>
      <c r="U67" s="25"/>
      <c r="V67" s="25"/>
      <c r="X67" s="25"/>
      <c r="Y67" s="25"/>
    </row>
    <row r="68" spans="1:25">
      <c r="A68">
        <f>IF(OR(F68=Kontoauszug!$H$2,G68=Kontoauszug!$H$2),ROUND(A67+1,0),A67+0.0001)</f>
        <v>1.0060999999999993</v>
      </c>
      <c r="B68" s="16">
        <f>IF(AND(E68&gt;=$B$2,E68&lt;=$B$3,OR(F68=Kontoauszug!$H$2,G68=Kontoauszug!$H$2)),ROUND(B67+1,0),B67+0.0001)</f>
        <v>1.0060999999999993</v>
      </c>
      <c r="C68" s="16">
        <f>IF(H68=Projektabrechnung!$F$2,ROUND(C67+1,0),C67+0.0001)</f>
        <v>6.2000000000000033E-3</v>
      </c>
      <c r="D68" s="17"/>
      <c r="E68" s="18"/>
      <c r="F68" s="19"/>
      <c r="G68" s="20"/>
      <c r="H68" s="195"/>
      <c r="I68" s="21"/>
      <c r="J68" s="22"/>
      <c r="K68" s="98" t="str">
        <f t="shared" si="0"/>
        <v/>
      </c>
      <c r="L68" s="100" t="str">
        <f>IF(F68="","",VLOOKUP(Journal!F68,Kontenplan!$E$9:$F$278,2))</f>
        <v/>
      </c>
      <c r="M68" s="99" t="str">
        <f>IF(G68="","",VLOOKUP(Journal!G68,Kontenplan!$E$9:$F$278,2))</f>
        <v/>
      </c>
      <c r="N68" s="25" t="str">
        <f>IF(AND(G68="",I68="",J68=""),"",IF(AND(I68&gt;0,OR(F68="",G68="")),"Bitte gültige Kontonummer/n eingeben",IF(OR(AND(F68&gt;0,F68&lt;1000),F68&gt;9999),"Sollkontonummer muss vierstellig sein",IF(VLOOKUP(F68,Kontenplan!$E$9:$E$277,1)&lt;&gt;F68,"Sollkonto existiert nicht",IF(D68=0,"Bitte Beleg-Nr. prüfen",IF(OR(AND(G68&gt;0,G68&lt;1000),G68&gt;9999),"Habenkontonummer muss vierstellig sein",IF(VLOOKUP(G68,Kontenplan!$E$9:$F$277,1)&lt;&gt;G68,"Habenkonto exisitert nicht","")))))))</f>
        <v/>
      </c>
      <c r="O68" s="25" t="str">
        <f t="shared" si="1"/>
        <v/>
      </c>
      <c r="P68" s="25"/>
      <c r="Q68" s="216">
        <v>67</v>
      </c>
      <c r="R68" s="216">
        <v>67.099999999999994</v>
      </c>
      <c r="S68" s="25"/>
      <c r="T68" s="25"/>
      <c r="U68" s="25"/>
      <c r="V68" s="25"/>
      <c r="X68" s="25"/>
      <c r="Y68" s="25"/>
    </row>
    <row r="69" spans="1:25">
      <c r="A69">
        <f>IF(OR(F69=Kontoauszug!$H$2,G69=Kontoauszug!$H$2),ROUND(A68+1,0),A68+0.0001)</f>
        <v>1.0061999999999993</v>
      </c>
      <c r="B69" s="16">
        <f>IF(AND(E69&gt;=$B$2,E69&lt;=$B$3,OR(F69=Kontoauszug!$H$2,G69=Kontoauszug!$H$2)),ROUND(B68+1,0),B68+0.0001)</f>
        <v>1.0061999999999993</v>
      </c>
      <c r="C69" s="16">
        <f>IF(H69=Projektabrechnung!$F$2,ROUND(C68+1,0),C68+0.0001)</f>
        <v>6.3000000000000035E-3</v>
      </c>
      <c r="D69" s="17"/>
      <c r="E69" s="18"/>
      <c r="F69" s="19"/>
      <c r="G69" s="20"/>
      <c r="H69" s="195"/>
      <c r="I69" s="21"/>
      <c r="J69" s="22"/>
      <c r="K69" s="98" t="str">
        <f t="shared" si="0"/>
        <v/>
      </c>
      <c r="L69" s="100" t="str">
        <f>IF(F69="","",VLOOKUP(Journal!F69,Kontenplan!$E$9:$F$278,2))</f>
        <v/>
      </c>
      <c r="M69" s="99" t="str">
        <f>IF(G69="","",VLOOKUP(Journal!G69,Kontenplan!$E$9:$F$278,2))</f>
        <v/>
      </c>
      <c r="N69" s="25" t="str">
        <f>IF(AND(G69="",I69="",J69=""),"",IF(AND(I69&gt;0,OR(F69="",G69="")),"Bitte gültige Kontonummer/n eingeben",IF(OR(AND(F69&gt;0,F69&lt;1000),F69&gt;9999),"Sollkontonummer muss vierstellig sein",IF(VLOOKUP(F69,Kontenplan!$E$9:$E$277,1)&lt;&gt;F69,"Sollkonto existiert nicht",IF(D69=0,"Bitte Beleg-Nr. prüfen",IF(OR(AND(G69&gt;0,G69&lt;1000),G69&gt;9999),"Habenkontonummer muss vierstellig sein",IF(VLOOKUP(G69,Kontenplan!$E$9:$F$277,1)&lt;&gt;G69,"Habenkonto exisitert nicht","")))))))</f>
        <v/>
      </c>
      <c r="O69" s="25" t="str">
        <f t="shared" si="1"/>
        <v/>
      </c>
      <c r="P69" s="25"/>
      <c r="Q69" s="216">
        <v>68</v>
      </c>
      <c r="R69" s="216">
        <v>68.099999999999994</v>
      </c>
      <c r="S69" s="25"/>
      <c r="T69" s="25"/>
      <c r="U69" s="25"/>
      <c r="V69" s="25"/>
      <c r="X69" s="25"/>
      <c r="Y69" s="25"/>
    </row>
    <row r="70" spans="1:25">
      <c r="A70">
        <f>IF(OR(F70=Kontoauszug!$H$2,G70=Kontoauszug!$H$2),ROUND(A69+1,0),A69+0.0001)</f>
        <v>1.0062999999999993</v>
      </c>
      <c r="B70" s="16">
        <f>IF(AND(E70&gt;=$B$2,E70&lt;=$B$3,OR(F70=Kontoauszug!$H$2,G70=Kontoauszug!$H$2)),ROUND(B69+1,0),B69+0.0001)</f>
        <v>1.0062999999999993</v>
      </c>
      <c r="C70" s="16">
        <f>IF(H70=Projektabrechnung!$F$2,ROUND(C69+1,0),C69+0.0001)</f>
        <v>6.4000000000000038E-3</v>
      </c>
      <c r="D70" s="17"/>
      <c r="E70" s="18"/>
      <c r="F70" s="19"/>
      <c r="G70" s="20"/>
      <c r="H70" s="195"/>
      <c r="I70" s="21"/>
      <c r="J70" s="22"/>
      <c r="K70" s="98" t="str">
        <f t="shared" si="0"/>
        <v/>
      </c>
      <c r="L70" s="100" t="str">
        <f>IF(F70="","",VLOOKUP(Journal!F70,Kontenplan!$E$9:$F$278,2))</f>
        <v/>
      </c>
      <c r="M70" s="99" t="str">
        <f>IF(G70="","",VLOOKUP(Journal!G70,Kontenplan!$E$9:$F$278,2))</f>
        <v/>
      </c>
      <c r="N70" s="25" t="str">
        <f>IF(AND(G70="",I70="",J70=""),"",IF(AND(I70&gt;0,OR(F70="",G70="")),"Bitte gültige Kontonummer/n eingeben",IF(OR(AND(F70&gt;0,F70&lt;1000),F70&gt;9999),"Sollkontonummer muss vierstellig sein",IF(VLOOKUP(F70,Kontenplan!$E$9:$E$277,1)&lt;&gt;F70,"Sollkonto existiert nicht",IF(D70=0,"Bitte Beleg-Nr. prüfen",IF(OR(AND(G70&gt;0,G70&lt;1000),G70&gt;9999),"Habenkontonummer muss vierstellig sein",IF(VLOOKUP(G70,Kontenplan!$E$9:$F$277,1)&lt;&gt;G70,"Habenkonto exisitert nicht","")))))))</f>
        <v/>
      </c>
      <c r="O70" s="25" t="str">
        <f t="shared" si="1"/>
        <v/>
      </c>
      <c r="P70" s="25"/>
      <c r="Q70" s="9">
        <v>69</v>
      </c>
      <c r="R70" s="9">
        <v>69.099999999999994</v>
      </c>
      <c r="S70" s="25"/>
      <c r="T70" s="25"/>
      <c r="U70" s="25"/>
      <c r="V70" s="25"/>
      <c r="X70" s="25"/>
      <c r="Y70" s="25"/>
    </row>
    <row r="71" spans="1:25">
      <c r="A71">
        <f>IF(OR(F71=Kontoauszug!$H$2,G71=Kontoauszug!$H$2),ROUND(A70+1,0),A70+0.0001)</f>
        <v>1.0063999999999993</v>
      </c>
      <c r="B71" s="16">
        <f>IF(AND(E71&gt;=$B$2,E71&lt;=$B$3,OR(F71=Kontoauszug!$H$2,G71=Kontoauszug!$H$2)),ROUND(B70+1,0),B70+0.0001)</f>
        <v>1.0063999999999993</v>
      </c>
      <c r="C71" s="16">
        <f>IF(H71=Projektabrechnung!$F$2,ROUND(C70+1,0),C70+0.0001)</f>
        <v>6.500000000000004E-3</v>
      </c>
      <c r="D71" s="17"/>
      <c r="E71" s="18"/>
      <c r="F71" s="19"/>
      <c r="G71" s="20"/>
      <c r="H71" s="195"/>
      <c r="I71" s="21"/>
      <c r="J71" s="22"/>
      <c r="K71" s="98" t="str">
        <f t="shared" ref="K71:K81" si="3">IF(N71&lt;&gt;"",N71,IF(O71&lt;&gt;"",O71,""))</f>
        <v/>
      </c>
      <c r="L71" s="100" t="str">
        <f>IF(F71="","",VLOOKUP(Journal!F71,Kontenplan!$E$9:$F$278,2))</f>
        <v/>
      </c>
      <c r="M71" s="99" t="str">
        <f>IF(G71="","",VLOOKUP(Journal!G71,Kontenplan!$E$9:$F$278,2))</f>
        <v/>
      </c>
      <c r="N71" s="25" t="str">
        <f>IF(AND(G71="",I71="",J71=""),"",IF(AND(I71&gt;0,OR(F71="",G71="")),"Bitte gültige Kontonummer/n eingeben",IF(OR(AND(F71&gt;0,F71&lt;1000),F71&gt;9999),"Sollkontonummer muss vierstellig sein",IF(VLOOKUP(F71,Kontenplan!$E$9:$E$277,1)&lt;&gt;F71,"Sollkonto existiert nicht",IF(D71=0,"Bitte Beleg-Nr. prüfen",IF(OR(AND(G71&gt;0,G71&lt;1000),G71&gt;9999),"Habenkontonummer muss vierstellig sein",IF(VLOOKUP(G71,Kontenplan!$E$9:$F$277,1)&lt;&gt;G71,"Habenkonto exisitert nicht","")))))))</f>
        <v/>
      </c>
      <c r="O71" s="25" t="str">
        <f t="shared" si="1"/>
        <v/>
      </c>
      <c r="P71" s="25"/>
      <c r="Q71" s="212">
        <v>70</v>
      </c>
      <c r="R71" s="212">
        <v>70.099999999999994</v>
      </c>
      <c r="S71" s="25"/>
      <c r="T71" s="25"/>
      <c r="U71" s="25"/>
      <c r="V71" s="25"/>
      <c r="X71" s="25"/>
      <c r="Y71" s="25"/>
    </row>
    <row r="72" spans="1:25">
      <c r="A72">
        <f>IF(OR(F72=Kontoauszug!$H$2,G72=Kontoauszug!$H$2),ROUND(A71+1,0),A71+0.0001)</f>
        <v>1.0064999999999993</v>
      </c>
      <c r="B72" s="16">
        <f>IF(AND(E72&gt;=$B$2,E72&lt;=$B$3,OR(F72=Kontoauszug!$H$2,G72=Kontoauszug!$H$2)),ROUND(B71+1,0),B71+0.0001)</f>
        <v>1.0064999999999993</v>
      </c>
      <c r="C72" s="16">
        <f>IF(H72=Projektabrechnung!$F$2,ROUND(C71+1,0),C71+0.0001)</f>
        <v>6.6000000000000043E-3</v>
      </c>
      <c r="D72" s="17"/>
      <c r="E72" s="18"/>
      <c r="F72" s="19"/>
      <c r="G72" s="20"/>
      <c r="H72" s="195"/>
      <c r="I72" s="21"/>
      <c r="J72" s="22"/>
      <c r="K72" s="98" t="str">
        <f t="shared" si="3"/>
        <v/>
      </c>
      <c r="L72" s="100" t="str">
        <f>IF(F72="","",VLOOKUP(Journal!F72,Kontenplan!$E$9:$F$278,2))</f>
        <v/>
      </c>
      <c r="M72" s="99" t="str">
        <f>IF(G72="","",VLOOKUP(Journal!G72,Kontenplan!$E$9:$F$278,2))</f>
        <v/>
      </c>
      <c r="N72" s="25" t="str">
        <f>IF(AND(G72="",I72="",J72=""),"",IF(AND(I72&gt;0,OR(F72="",G72="")),"Bitte gültige Kontonummer/n eingeben",IF(OR(AND(F72&gt;0,F72&lt;1000),F72&gt;9999),"Sollkontonummer muss vierstellig sein",IF(VLOOKUP(F72,Kontenplan!$E$9:$E$277,1)&lt;&gt;F72,"Sollkonto existiert nicht",IF(D72=0,"Bitte Beleg-Nr. prüfen",IF(OR(AND(G72&gt;0,G72&lt;1000),G72&gt;9999),"Habenkontonummer muss vierstellig sein",IF(VLOOKUP(G72,Kontenplan!$E$9:$F$277,1)&lt;&gt;G72,"Habenkonto exisitert nicht","")))))))</f>
        <v/>
      </c>
      <c r="O72" s="25" t="str">
        <f t="shared" ref="O72:O81" si="4">IF(AND(F72&lt;&gt;"",F72=G72),"Soll- und Habenkontonummern sind identisch",IF(AND(D73&lt;&gt;"",G72&gt;0,F72&gt;0,OR(I72="",I72&lt;=0)),"Bitte Betrag prüfen",IF(AND(J72="",D73&gt;0),"Kein Text ist ok, aber nicht empfehlenswert",IF(OR(AND(E72="",G72&gt;0),AND(E72&lt;MAX(E65:E71)-20,G72&gt;0)),"Datum möglicherweise falsch",""))))</f>
        <v/>
      </c>
      <c r="P72" s="25"/>
      <c r="Q72" s="216">
        <v>71</v>
      </c>
      <c r="R72" s="216">
        <v>71.099999999999994</v>
      </c>
      <c r="S72" s="25"/>
      <c r="T72" s="25"/>
      <c r="U72" s="25"/>
      <c r="V72" s="25"/>
      <c r="X72" s="25"/>
      <c r="Y72" s="25"/>
    </row>
    <row r="73" spans="1:25">
      <c r="A73">
        <f>IF(OR(F73=Kontoauszug!$H$2,G73=Kontoauszug!$H$2),ROUND(A72+1,0),A72+0.0001)</f>
        <v>1.0065999999999993</v>
      </c>
      <c r="B73" s="16">
        <f>IF(AND(E73&gt;=$B$2,E73&lt;=$B$3,OR(F73=Kontoauszug!$H$2,G73=Kontoauszug!$H$2)),ROUND(B72+1,0),B72+0.0001)</f>
        <v>1.0065999999999993</v>
      </c>
      <c r="C73" s="16">
        <f>IF(H73=Projektabrechnung!$F$2,ROUND(C72+1,0),C72+0.0001)</f>
        <v>6.7000000000000046E-3</v>
      </c>
      <c r="D73" s="17"/>
      <c r="E73" s="18"/>
      <c r="F73" s="19"/>
      <c r="G73" s="20"/>
      <c r="H73" s="195"/>
      <c r="I73" s="21"/>
      <c r="J73" s="22"/>
      <c r="K73" s="98" t="str">
        <f t="shared" si="3"/>
        <v/>
      </c>
      <c r="L73" s="100" t="str">
        <f>IF(F73="","",VLOOKUP(Journal!F73,Kontenplan!$E$9:$F$278,2))</f>
        <v/>
      </c>
      <c r="M73" s="99" t="str">
        <f>IF(G73="","",VLOOKUP(Journal!G73,Kontenplan!$E$9:$F$278,2))</f>
        <v/>
      </c>
      <c r="N73" s="25" t="str">
        <f>IF(AND(G73="",I73="",J73=""),"",IF(AND(I73&gt;0,OR(F73="",G73="")),"Bitte gültige Kontonummer/n eingeben",IF(OR(AND(F73&gt;0,F73&lt;1000),F73&gt;9999),"Sollkontonummer muss vierstellig sein",IF(VLOOKUP(F73,Kontenplan!$E$9:$E$277,1)&lt;&gt;F73,"Sollkonto existiert nicht",IF(D73=0,"Bitte Beleg-Nr. prüfen",IF(OR(AND(G73&gt;0,G73&lt;1000),G73&gt;9999),"Habenkontonummer muss vierstellig sein",IF(VLOOKUP(G73,Kontenplan!$E$9:$F$277,1)&lt;&gt;G73,"Habenkonto exisitert nicht","")))))))</f>
        <v/>
      </c>
      <c r="O73" s="25" t="str">
        <f t="shared" si="4"/>
        <v/>
      </c>
      <c r="P73" s="25"/>
      <c r="Q73" s="216">
        <v>72</v>
      </c>
      <c r="R73" s="216">
        <v>72.099999999999994</v>
      </c>
      <c r="S73" s="25"/>
      <c r="T73" s="25"/>
      <c r="U73" s="25"/>
      <c r="V73" s="25"/>
      <c r="X73" s="25"/>
      <c r="Y73" s="25"/>
    </row>
    <row r="74" spans="1:25">
      <c r="A74">
        <f>IF(OR(F74=Kontoauszug!$H$2,G74=Kontoauszug!$H$2),ROUND(A73+1,0),A73+0.0001)</f>
        <v>1.0066999999999993</v>
      </c>
      <c r="B74" s="16">
        <f>IF(AND(E74&gt;=$B$2,E74&lt;=$B$3,OR(F74=Kontoauszug!$H$2,G74=Kontoauszug!$H$2)),ROUND(B73+1,0),B73+0.0001)</f>
        <v>1.0066999999999993</v>
      </c>
      <c r="C74" s="16">
        <f>IF(H74=Projektabrechnung!$F$2,ROUND(C73+1,0),C73+0.0001)</f>
        <v>6.8000000000000048E-3</v>
      </c>
      <c r="D74" s="17"/>
      <c r="E74" s="18"/>
      <c r="F74" s="19"/>
      <c r="G74" s="20"/>
      <c r="H74" s="195"/>
      <c r="I74" s="21"/>
      <c r="J74" s="22"/>
      <c r="K74" s="98" t="str">
        <f t="shared" si="3"/>
        <v/>
      </c>
      <c r="L74" s="100" t="str">
        <f>IF(F74="","",VLOOKUP(Journal!F74,Kontenplan!$E$9:$F$278,2))</f>
        <v/>
      </c>
      <c r="M74" s="99" t="str">
        <f>IF(G74="","",VLOOKUP(Journal!G74,Kontenplan!$E$9:$F$278,2))</f>
        <v/>
      </c>
      <c r="N74" s="25" t="str">
        <f>IF(AND(G74="",I74="",J74=""),"",IF(AND(I74&gt;0,OR(F74="",G74="")),"Bitte gültige Kontonummer/n eingeben",IF(OR(AND(F74&gt;0,F74&lt;1000),F74&gt;9999),"Sollkontonummer muss vierstellig sein",IF(VLOOKUP(F74,Kontenplan!$E$9:$E$277,1)&lt;&gt;F74,"Sollkonto existiert nicht",IF(D74=0,"Bitte Beleg-Nr. prüfen",IF(OR(AND(G74&gt;0,G74&lt;1000),G74&gt;9999),"Habenkontonummer muss vierstellig sein",IF(VLOOKUP(G74,Kontenplan!$E$9:$F$277,1)&lt;&gt;G74,"Habenkonto exisitert nicht","")))))))</f>
        <v/>
      </c>
      <c r="O74" s="25" t="str">
        <f t="shared" si="4"/>
        <v/>
      </c>
      <c r="P74" s="25"/>
      <c r="Q74" s="9">
        <v>73</v>
      </c>
      <c r="R74" s="9">
        <v>73.099999999999994</v>
      </c>
      <c r="S74" s="25"/>
      <c r="T74" s="25"/>
      <c r="U74" s="25"/>
      <c r="V74" s="25"/>
      <c r="X74" s="25"/>
      <c r="Y74" s="25"/>
    </row>
    <row r="75" spans="1:25">
      <c r="A75">
        <f>IF(OR(F75=Kontoauszug!$H$2,G75=Kontoauszug!$H$2),ROUND(A74+1,0),A74+0.0001)</f>
        <v>1.0067999999999993</v>
      </c>
      <c r="B75" s="16">
        <f>IF(AND(E75&gt;=$B$2,E75&lt;=$B$3,OR(F75=Kontoauszug!$H$2,G75=Kontoauszug!$H$2)),ROUND(B74+1,0),B74+0.0001)</f>
        <v>1.0067999999999993</v>
      </c>
      <c r="C75" s="16">
        <f>IF(H75=Projektabrechnung!$F$2,ROUND(C74+1,0),C74+0.0001)</f>
        <v>6.9000000000000051E-3</v>
      </c>
      <c r="D75" s="17"/>
      <c r="E75" s="18"/>
      <c r="F75" s="19"/>
      <c r="G75" s="20"/>
      <c r="H75" s="195"/>
      <c r="I75" s="21"/>
      <c r="J75" s="22"/>
      <c r="K75" s="98" t="str">
        <f t="shared" si="3"/>
        <v/>
      </c>
      <c r="L75" s="100" t="str">
        <f>IF(F75="","",VLOOKUP(Journal!F75,Kontenplan!$E$9:$F$278,2))</f>
        <v/>
      </c>
      <c r="M75" s="99" t="str">
        <f>IF(G75="","",VLOOKUP(Journal!G75,Kontenplan!$E$9:$F$278,2))</f>
        <v/>
      </c>
      <c r="N75" s="25" t="str">
        <f>IF(AND(G75="",I75="",J75=""),"",IF(AND(I75&gt;0,OR(F75="",G75="")),"Bitte gültige Kontonummer/n eingeben",IF(OR(AND(F75&gt;0,F75&lt;1000),F75&gt;9999),"Sollkontonummer muss vierstellig sein",IF(VLOOKUP(F75,Kontenplan!$E$9:$E$277,1)&lt;&gt;F75,"Sollkonto existiert nicht",IF(D75=0,"Bitte Beleg-Nr. prüfen",IF(OR(AND(G75&gt;0,G75&lt;1000),G75&gt;9999),"Habenkontonummer muss vierstellig sein",IF(VLOOKUP(G75,Kontenplan!$E$9:$F$277,1)&lt;&gt;G75,"Habenkonto exisitert nicht","")))))))</f>
        <v/>
      </c>
      <c r="O75" s="25" t="str">
        <f t="shared" si="4"/>
        <v/>
      </c>
      <c r="P75" s="25"/>
      <c r="Q75" s="212">
        <v>74</v>
      </c>
      <c r="R75" s="212">
        <v>74.099999999999994</v>
      </c>
      <c r="S75" s="25"/>
      <c r="T75" s="25"/>
      <c r="U75" s="25"/>
      <c r="V75" s="25"/>
      <c r="X75" s="25"/>
      <c r="Y75" s="25"/>
    </row>
    <row r="76" spans="1:25">
      <c r="A76">
        <f>IF(OR(F76=Kontoauszug!$H$2,G76=Kontoauszug!$H$2),ROUND(A75+1,0),A75+0.0001)</f>
        <v>1.0068999999999992</v>
      </c>
      <c r="B76" s="16">
        <f>IF(AND(E76&gt;=$B$2,E76&lt;=$B$3,OR(F76=Kontoauszug!$H$2,G76=Kontoauszug!$H$2)),ROUND(B75+1,0),B75+0.0001)</f>
        <v>1.0068999999999992</v>
      </c>
      <c r="C76" s="16">
        <f>IF(H76=Projektabrechnung!$F$2,ROUND(C75+1,0),C75+0.0001)</f>
        <v>7.0000000000000053E-3</v>
      </c>
      <c r="D76" s="17"/>
      <c r="E76" s="18"/>
      <c r="F76" s="19"/>
      <c r="G76" s="20"/>
      <c r="H76" s="195"/>
      <c r="I76" s="21"/>
      <c r="J76" s="22"/>
      <c r="K76" s="98" t="str">
        <f t="shared" si="3"/>
        <v/>
      </c>
      <c r="L76" s="100" t="str">
        <f>IF(F76="","",VLOOKUP(Journal!F76,Kontenplan!$E$9:$F$278,2))</f>
        <v/>
      </c>
      <c r="M76" s="99" t="str">
        <f>IF(G76="","",VLOOKUP(Journal!G76,Kontenplan!$E$9:$F$278,2))</f>
        <v/>
      </c>
      <c r="N76" s="25" t="str">
        <f>IF(AND(G76="",I76="",J76=""),"",IF(AND(I76&gt;0,OR(F76="",G76="")),"Bitte gültige Kontonummer/n eingeben",IF(OR(AND(F76&gt;0,F76&lt;1000),F76&gt;9999),"Sollkontonummer muss vierstellig sein",IF(VLOOKUP(F76,Kontenplan!$E$9:$E$277,1)&lt;&gt;F76,"Sollkonto existiert nicht",IF(D76=0,"Bitte Beleg-Nr. prüfen",IF(OR(AND(G76&gt;0,G76&lt;1000),G76&gt;9999),"Habenkontonummer muss vierstellig sein",IF(VLOOKUP(G76,Kontenplan!$E$9:$F$277,1)&lt;&gt;G76,"Habenkonto exisitert nicht","")))))))</f>
        <v/>
      </c>
      <c r="O76" s="25" t="str">
        <f t="shared" si="4"/>
        <v/>
      </c>
      <c r="P76" s="25"/>
      <c r="Q76" s="216">
        <v>75</v>
      </c>
      <c r="R76" s="216">
        <v>75.099999999999994</v>
      </c>
      <c r="S76" s="25"/>
      <c r="T76" s="25"/>
      <c r="U76" s="25"/>
      <c r="V76" s="25"/>
      <c r="X76" s="25"/>
      <c r="Y76" s="25"/>
    </row>
    <row r="77" spans="1:25">
      <c r="A77">
        <f>IF(OR(F77=Kontoauszug!$H$2,G77=Kontoauszug!$H$2),ROUND(A76+1,0),A76+0.0001)</f>
        <v>1.0069999999999992</v>
      </c>
      <c r="B77" s="16">
        <f>IF(AND(E77&gt;=$B$2,E77&lt;=$B$3,OR(F77=Kontoauszug!$H$2,G77=Kontoauszug!$H$2)),ROUND(B76+1,0),B76+0.0001)</f>
        <v>1.0069999999999992</v>
      </c>
      <c r="C77" s="16">
        <f>IF(H77=Projektabrechnung!$F$2,ROUND(C76+1,0),C76+0.0001)</f>
        <v>7.1000000000000056E-3</v>
      </c>
      <c r="D77" s="17"/>
      <c r="E77" s="18"/>
      <c r="F77" s="19"/>
      <c r="G77" s="20"/>
      <c r="H77" s="195"/>
      <c r="I77" s="21"/>
      <c r="J77" s="22"/>
      <c r="K77" s="98" t="str">
        <f t="shared" si="3"/>
        <v/>
      </c>
      <c r="L77" s="100" t="str">
        <f>IF(F77="","",VLOOKUP(Journal!F77,Kontenplan!$E$9:$F$278,2))</f>
        <v/>
      </c>
      <c r="M77" s="99" t="str">
        <f>IF(G77="","",VLOOKUP(Journal!G77,Kontenplan!$E$9:$F$278,2))</f>
        <v/>
      </c>
      <c r="N77" s="25" t="str">
        <f>IF(AND(G77="",I77="",J77=""),"",IF(AND(I77&gt;0,OR(F77="",G77="")),"Bitte gültige Kontonummer/n eingeben",IF(OR(AND(F77&gt;0,F77&lt;1000),F77&gt;9999),"Sollkontonummer muss vierstellig sein",IF(VLOOKUP(F77,Kontenplan!$E$9:$E$277,1)&lt;&gt;F77,"Sollkonto existiert nicht",IF(D77=0,"Bitte Beleg-Nr. prüfen",IF(OR(AND(G77&gt;0,G77&lt;1000),G77&gt;9999),"Habenkontonummer muss vierstellig sein",IF(VLOOKUP(G77,Kontenplan!$E$9:$F$277,1)&lt;&gt;G77,"Habenkonto exisitert nicht","")))))))</f>
        <v/>
      </c>
      <c r="O77" s="25" t="str">
        <f t="shared" si="4"/>
        <v/>
      </c>
      <c r="P77" s="25"/>
      <c r="Q77" s="216">
        <v>76</v>
      </c>
      <c r="R77" s="216">
        <v>76.099999999999994</v>
      </c>
      <c r="S77" s="25"/>
      <c r="T77" s="25"/>
      <c r="U77" s="25"/>
      <c r="V77" s="25"/>
      <c r="X77" s="25"/>
      <c r="Y77" s="25"/>
    </row>
    <row r="78" spans="1:25">
      <c r="A78">
        <f>IF(OR(F78=Kontoauszug!$H$2,G78=Kontoauszug!$H$2),ROUND(A77+1,0),A77+0.0001)</f>
        <v>1.0070999999999992</v>
      </c>
      <c r="B78" s="16">
        <f>IF(AND(E78&gt;=$B$2,E78&lt;=$B$3,OR(F78=Kontoauszug!$H$2,G78=Kontoauszug!$H$2)),ROUND(B77+1,0),B77+0.0001)</f>
        <v>1.0070999999999992</v>
      </c>
      <c r="C78" s="16">
        <f>IF(H78=Projektabrechnung!$F$2,ROUND(C77+1,0),C77+0.0001)</f>
        <v>7.2000000000000059E-3</v>
      </c>
      <c r="D78" s="17"/>
      <c r="E78" s="18"/>
      <c r="F78" s="19"/>
      <c r="G78" s="20"/>
      <c r="H78" s="195"/>
      <c r="I78" s="21"/>
      <c r="J78" s="22"/>
      <c r="K78" s="98" t="str">
        <f t="shared" si="3"/>
        <v/>
      </c>
      <c r="L78" s="100" t="str">
        <f>IF(F78="","",VLOOKUP(Journal!F78,Kontenplan!$E$9:$F$278,2))</f>
        <v/>
      </c>
      <c r="M78" s="99" t="str">
        <f>IF(G78="","",VLOOKUP(Journal!G78,Kontenplan!$E$9:$F$278,2))</f>
        <v/>
      </c>
      <c r="N78" s="25" t="str">
        <f>IF(AND(G78="",I78="",J78=""),"",IF(AND(I78&gt;0,OR(F78="",G78="")),"Bitte gültige Kontonummer/n eingeben",IF(OR(AND(F78&gt;0,F78&lt;1000),F78&gt;9999),"Sollkontonummer muss vierstellig sein",IF(VLOOKUP(F78,Kontenplan!$E$9:$E$277,1)&lt;&gt;F78,"Sollkonto existiert nicht",IF(D78=0,"Bitte Beleg-Nr. prüfen",IF(OR(AND(G78&gt;0,G78&lt;1000),G78&gt;9999),"Habenkontonummer muss vierstellig sein",IF(VLOOKUP(G78,Kontenplan!$E$9:$F$277,1)&lt;&gt;G78,"Habenkonto exisitert nicht","")))))))</f>
        <v/>
      </c>
      <c r="O78" s="25" t="str">
        <f t="shared" si="4"/>
        <v/>
      </c>
      <c r="P78" s="25"/>
      <c r="Q78" s="9">
        <v>77</v>
      </c>
      <c r="R78" s="9">
        <v>77.099999999999994</v>
      </c>
      <c r="S78" s="25"/>
      <c r="T78" s="25"/>
      <c r="U78" s="25"/>
      <c r="V78" s="25"/>
      <c r="X78" s="25"/>
      <c r="Y78" s="25"/>
    </row>
    <row r="79" spans="1:25">
      <c r="A79">
        <f>IF(OR(F79=Kontoauszug!$H$2,G79=Kontoauszug!$H$2),ROUND(A78+1,0),A78+0.0001)</f>
        <v>1.0071999999999992</v>
      </c>
      <c r="B79" s="16">
        <f>IF(AND(E79&gt;=$B$2,E79&lt;=$B$3,OR(F79=Kontoauszug!$H$2,G79=Kontoauszug!$H$2)),ROUND(B78+1,0),B78+0.0001)</f>
        <v>1.0071999999999992</v>
      </c>
      <c r="C79" s="16">
        <f>IF(H79=Projektabrechnung!$F$2,ROUND(C78+1,0),C78+0.0001)</f>
        <v>7.3000000000000061E-3</v>
      </c>
      <c r="D79" s="17"/>
      <c r="E79" s="18"/>
      <c r="F79" s="19"/>
      <c r="G79" s="20"/>
      <c r="H79" s="195"/>
      <c r="I79" s="21"/>
      <c r="J79" s="22"/>
      <c r="K79" s="98" t="str">
        <f t="shared" si="3"/>
        <v/>
      </c>
      <c r="L79" s="100" t="str">
        <f>IF(F79="","",VLOOKUP(Journal!F79,Kontenplan!$E$9:$F$278,2))</f>
        <v/>
      </c>
      <c r="M79" s="99" t="str">
        <f>IF(G79="","",VLOOKUP(Journal!G79,Kontenplan!$E$9:$F$278,2))</f>
        <v/>
      </c>
      <c r="N79" s="25" t="str">
        <f>IF(AND(G79="",I79="",J79=""),"",IF(AND(I79&gt;0,OR(F79="",G79="")),"Bitte gültige Kontonummer/n eingeben",IF(OR(AND(F79&gt;0,F79&lt;1000),F79&gt;9999),"Sollkontonummer muss vierstellig sein",IF(VLOOKUP(F79,Kontenplan!$E$9:$E$277,1)&lt;&gt;F79,"Sollkonto existiert nicht",IF(D79=0,"Bitte Beleg-Nr. prüfen",IF(OR(AND(G79&gt;0,G79&lt;1000),G79&gt;9999),"Habenkontonummer muss vierstellig sein",IF(VLOOKUP(G79,Kontenplan!$E$9:$F$277,1)&lt;&gt;G79,"Habenkonto exisitert nicht","")))))))</f>
        <v/>
      </c>
      <c r="O79" s="25" t="str">
        <f t="shared" si="4"/>
        <v/>
      </c>
      <c r="P79" s="25"/>
      <c r="Q79" s="212">
        <v>78</v>
      </c>
      <c r="R79" s="212">
        <v>78.099999999999994</v>
      </c>
      <c r="S79" s="25"/>
      <c r="T79" s="25"/>
      <c r="U79" s="25"/>
      <c r="V79" s="25"/>
      <c r="X79" s="25"/>
      <c r="Y79" s="25"/>
    </row>
    <row r="80" spans="1:25">
      <c r="A80">
        <f>IF(OR(F80=Kontoauszug!$H$2,G80=Kontoauszug!$H$2),ROUND(A79+1,0),A79+0.0001)</f>
        <v>1.0072999999999992</v>
      </c>
      <c r="B80" s="16">
        <f>IF(AND(E80&gt;=$B$2,E80&lt;=$B$3,OR(F80=Kontoauszug!$H$2,G80=Kontoauszug!$H$2)),ROUND(B79+1,0),B79+0.0001)</f>
        <v>1.0072999999999992</v>
      </c>
      <c r="C80" s="16">
        <f>IF(H80=Projektabrechnung!$F$2,ROUND(C79+1,0),C79+0.0001)</f>
        <v>7.4000000000000064E-3</v>
      </c>
      <c r="D80" s="17"/>
      <c r="E80" s="18"/>
      <c r="F80" s="19"/>
      <c r="G80" s="20"/>
      <c r="H80" s="195"/>
      <c r="I80" s="21"/>
      <c r="J80" s="22"/>
      <c r="K80" s="98" t="str">
        <f t="shared" si="3"/>
        <v/>
      </c>
      <c r="L80" s="100" t="str">
        <f>IF(F80="","",VLOOKUP(Journal!F80,Kontenplan!$E$9:$F$278,2))</f>
        <v/>
      </c>
      <c r="M80" s="99" t="str">
        <f>IF(G80="","",VLOOKUP(Journal!G80,Kontenplan!$E$9:$F$278,2))</f>
        <v/>
      </c>
      <c r="N80" s="25" t="str">
        <f>IF(AND(G80="",I80="",J80=""),"",IF(AND(I80&gt;0,OR(F80="",G80="")),"Bitte gültige Kontonummer/n eingeben",IF(OR(AND(F80&gt;0,F80&lt;1000),F80&gt;9999),"Sollkontonummer muss vierstellig sein",IF(VLOOKUP(F80,Kontenplan!$E$9:$E$277,1)&lt;&gt;F80,"Sollkonto existiert nicht",IF(D80=0,"Bitte Beleg-Nr. prüfen",IF(OR(AND(G80&gt;0,G80&lt;1000),G80&gt;9999),"Habenkontonummer muss vierstellig sein",IF(VLOOKUP(G80,Kontenplan!$E$9:$F$277,1)&lt;&gt;G80,"Habenkonto exisitert nicht","")))))))</f>
        <v/>
      </c>
      <c r="O80" s="25" t="str">
        <f t="shared" si="4"/>
        <v/>
      </c>
      <c r="P80" s="25"/>
      <c r="Q80" s="216">
        <v>79</v>
      </c>
      <c r="R80" s="216">
        <v>79.099999999999994</v>
      </c>
      <c r="S80" s="25"/>
      <c r="T80" s="25"/>
      <c r="U80" s="25"/>
      <c r="V80" s="25"/>
      <c r="X80" s="25"/>
      <c r="Y80" s="25"/>
    </row>
    <row r="81" spans="1:25">
      <c r="A81">
        <f>IF(OR(F81=Kontoauszug!$H$2,G81=Kontoauszug!$H$2),ROUND(A80+1,0),A80+0.0001)</f>
        <v>1.0073999999999992</v>
      </c>
      <c r="B81" s="16">
        <f>IF(AND(E81&gt;=$B$2,E81&lt;=$B$3,OR(F81=Kontoauszug!$H$2,G81=Kontoauszug!$H$2)),ROUND(B80+1,0),B80+0.0001)</f>
        <v>1.0073999999999992</v>
      </c>
      <c r="C81" s="16">
        <f>IF(H81=Projektabrechnung!$F$2,ROUND(C80+1,0),C80+0.0001)</f>
        <v>7.5000000000000067E-3</v>
      </c>
      <c r="D81" s="17"/>
      <c r="E81" s="18"/>
      <c r="F81" s="19"/>
      <c r="G81" s="20"/>
      <c r="H81" s="195"/>
      <c r="I81" s="21"/>
      <c r="J81" s="217"/>
      <c r="K81" s="98" t="str">
        <f t="shared" si="3"/>
        <v/>
      </c>
      <c r="L81" s="100" t="str">
        <f>IF(F81="","",VLOOKUP(Journal!F81,Kontenplan!$E$9:$F$278,2))</f>
        <v/>
      </c>
      <c r="M81" s="99" t="str">
        <f>IF(G81="","",VLOOKUP(Journal!G81,Kontenplan!$E$9:$F$278,2))</f>
        <v/>
      </c>
      <c r="N81" s="25" t="str">
        <f>IF(AND(G81="",I81="",J81=""),"",IF(AND(I81&gt;0,OR(F81="",G81="")),"Bitte gültige Kontonummer/n eingeben",IF(OR(AND(F81&gt;0,F81&lt;1000),F81&gt;9999),"Sollkontonummer muss vierstellig sein",IF(VLOOKUP(F81,Kontenplan!$E$9:$E$277,1)&lt;&gt;F81,"Sollkonto existiert nicht",IF(D81=0,"Bitte Beleg-Nr. prüfen",IF(OR(AND(G81&gt;0,G81&lt;1000),G81&gt;9999),"Habenkontonummer muss vierstellig sein",IF(VLOOKUP(G81,Kontenplan!$E$9:$F$277,1)&lt;&gt;G81,"Habenkonto exisitert nicht","")))))))</f>
        <v/>
      </c>
      <c r="O81" s="25" t="str">
        <f t="shared" si="4"/>
        <v/>
      </c>
      <c r="P81" s="25"/>
      <c r="Q81" s="216">
        <v>80</v>
      </c>
      <c r="R81" s="216">
        <v>80.099999999999994</v>
      </c>
      <c r="S81" s="25"/>
      <c r="T81" s="25"/>
      <c r="U81" s="25"/>
      <c r="V81" s="25"/>
      <c r="X81" s="25"/>
      <c r="Y81" s="25"/>
    </row>
    <row r="82" spans="1:25">
      <c r="A82">
        <f>IF(OR(F82=Kontoauszug!$H$2,G82=Kontoauszug!$H$2),ROUND(A81+1,0),A81+0.0001)</f>
        <v>1.0074999999999992</v>
      </c>
      <c r="B82" s="16">
        <f>IF(AND(E82&gt;=$B$2,E82&lt;=$B$3,OR(F82=Kontoauszug!$H$2,G82=Kontoauszug!$H$2)),ROUND(B81+1,0),B81+0.0001)</f>
        <v>1.0074999999999992</v>
      </c>
      <c r="C82" s="16">
        <f>IF(H82=Projektabrechnung!$F$2,ROUND(C81+1,0),C81+0.0001)</f>
        <v>7.6000000000000069E-3</v>
      </c>
      <c r="D82" s="17"/>
      <c r="E82" s="18"/>
      <c r="F82" s="19"/>
      <c r="G82" s="20"/>
      <c r="H82" s="195"/>
      <c r="I82" s="21"/>
      <c r="J82" s="217"/>
      <c r="K82" s="98" t="str">
        <f>IF(N82&lt;&gt;"",N82,IF(O82&lt;&gt;"",O82,""))</f>
        <v/>
      </c>
      <c r="L82" s="100" t="str">
        <f>IF(F82="","",VLOOKUP(Journal!F82,Kontenplan!$E$9:$F$278,2))</f>
        <v/>
      </c>
      <c r="M82" s="99" t="str">
        <f>IF(G82="","",VLOOKUP(Journal!G82,Kontenplan!$E$9:$F$278,2))</f>
        <v/>
      </c>
      <c r="N82" s="25" t="str">
        <f>IF(AND(G82="",I82="",J82=""),"",IF(AND(I82&gt;0,OR(F82="",G82="")),"Bitte gültige Kontonummer/n eingeben",IF(OR(AND(F82&gt;0,F82&lt;1000),F82&gt;9999),"Sollkontonummer muss vierstellig sein",IF(VLOOKUP(F82,Kontenplan!$E$9:$E$277,1)&lt;&gt;F82,"Sollkonto existiert nicht",IF(D82=0,"Bitte Beleg-Nr. prüfen",IF(OR(AND(G82&gt;0,G82&lt;1000),G82&gt;9999),"Habenkontonummer muss vierstellig sein",IF(VLOOKUP(G82,Kontenplan!$E$9:$F$277,1)&lt;&gt;G82,"Habenkonto exisitert nicht","")))))))</f>
        <v/>
      </c>
      <c r="O82" s="25" t="str">
        <f>IF(AND(F82&lt;&gt;"",F82=G82),"Soll- und Habenkontonummern sind identisch",IF(AND(D83&lt;&gt;"",G82&gt;0,F82&gt;0,OR(I82="",I82&lt;=0)),"Bitte Betrag prüfen",IF(AND(J82="",D83&gt;0),"Kein Text ist ok, aber nicht empfehlenswert",IF(OR(AND(E82="",G82&gt;0),AND(E82&lt;MAX(E81:E81)-20,G82&gt;0)),"Datum möglicherweise falsch",""))))</f>
        <v/>
      </c>
      <c r="P82" s="25"/>
      <c r="Q82" s="9">
        <v>81</v>
      </c>
      <c r="R82" s="9">
        <v>81.099999999999994</v>
      </c>
      <c r="S82" s="25"/>
      <c r="T82" s="25"/>
      <c r="U82" s="25"/>
      <c r="V82" s="25"/>
      <c r="X82" s="25"/>
      <c r="Y82" s="25"/>
    </row>
    <row r="83" spans="1:25">
      <c r="A83">
        <f>IF(OR(F83=Kontoauszug!$H$2,G83=Kontoauszug!$H$2),ROUND(A82+1,0),A82+0.0001)</f>
        <v>1.0075999999999992</v>
      </c>
      <c r="B83" s="16">
        <f>IF(AND(E83&gt;=$B$2,E83&lt;=$B$3,OR(F83=Kontoauszug!$H$2,G83=Kontoauszug!$H$2)),ROUND(B82+1,0),B82+0.0001)</f>
        <v>1.0075999999999992</v>
      </c>
      <c r="C83" s="16">
        <f>IF(H83=Projektabrechnung!$F$2,ROUND(C82+1,0),C82+0.0001)</f>
        <v>7.7000000000000072E-3</v>
      </c>
      <c r="D83" s="98"/>
      <c r="E83" s="160"/>
      <c r="F83" s="160"/>
      <c r="G83" s="160"/>
      <c r="H83" s="161"/>
      <c r="I83" s="162"/>
      <c r="J83" s="160"/>
      <c r="K83" s="98" t="str">
        <f>IF(N83&lt;&gt;"",N83,IF(O83&lt;&gt;"",O83,""))</f>
        <v/>
      </c>
      <c r="L83" s="100" t="str">
        <f>IF(F83="","",VLOOKUP(Journal!F83,Kontenplan!$E$9:$F$278,2))</f>
        <v/>
      </c>
      <c r="M83" s="99" t="str">
        <f>IF(G83="","",VLOOKUP(Journal!G83,Kontenplan!$E$9:$F$278,2))</f>
        <v/>
      </c>
      <c r="N83" s="25" t="str">
        <f>IF(AND(G83="",I83="",J83=""),"",IF(AND(I83&gt;0,OR(F83="",G83="")),"Bitte gültige Kontonummer/n eingeben",IF(OR(AND(F83&gt;0,F83&lt;1000),F83&gt;9999),"Sollkontonummer muss vierstellig sein",IF(VLOOKUP(F83,Kontenplan!$E$9:$E$277,1)&lt;&gt;F83,"Sollkonto existiert nicht",IF(D83=0,"Bitte Beleg-Nr. prüfen",IF(OR(AND(G83&gt;0,G83&lt;1000),G83&gt;9999),"Habenkontonummer muss vierstellig sein",IF(VLOOKUP(G83,Kontenplan!$E$9:$F$277,1)&lt;&gt;G83,"Habenkonto exisitert nicht","")))))))</f>
        <v/>
      </c>
      <c r="O83" s="25" t="str">
        <f>IF(AND(D84&lt;&gt;"",G83&gt;0,F83&gt;0,OR(I83="",I83&lt;=0)),"Bitte Betrag prüfen",IF(AND(J83="",D84&gt;0),"Kein Text ist ok, aber nicht empfehlenswert",IF(AND(F83&lt;&gt;"",F83=G83),"Soll- und Habenkontonr. identisch",IF(OR(AND(E83="",G83&gt;0),AND(E83&lt;MAX(E82)-20,G83&gt;0)),"Datum möglicherweise falsch",""))))</f>
        <v/>
      </c>
      <c r="P83" s="25"/>
      <c r="Q83" s="212">
        <v>82</v>
      </c>
      <c r="R83" s="212">
        <v>82.1</v>
      </c>
      <c r="S83" s="25"/>
      <c r="T83" s="25"/>
      <c r="U83" s="25"/>
      <c r="V83" s="25"/>
      <c r="X83" s="25"/>
      <c r="Y83" s="25"/>
    </row>
    <row r="84" spans="1:25" ht="13.5" thickBot="1">
      <c r="B84" s="16"/>
      <c r="C84" s="16"/>
      <c r="D84" s="23"/>
      <c r="H84" s="11"/>
      <c r="I84" s="28">
        <f>SUM(I6:I83)</f>
        <v>40</v>
      </c>
      <c r="K84" s="11"/>
      <c r="N84" s="29"/>
      <c r="O84" s="29"/>
      <c r="P84" s="29"/>
      <c r="Q84" s="29"/>
      <c r="R84" s="29"/>
      <c r="S84" s="29"/>
      <c r="T84" s="29"/>
      <c r="U84" s="29"/>
      <c r="V84" s="29"/>
      <c r="W84" s="29"/>
      <c r="X84" s="29"/>
      <c r="Y84" s="29"/>
    </row>
    <row r="85" spans="1:25">
      <c r="D85" s="23" t="s">
        <v>192</v>
      </c>
      <c r="K85" s="11"/>
    </row>
    <row r="86" spans="1:25">
      <c r="D86" s="23" t="s">
        <v>193</v>
      </c>
      <c r="K86" s="11"/>
    </row>
    <row r="87" spans="1:25">
      <c r="D87" s="23" t="s">
        <v>194</v>
      </c>
      <c r="K87" s="11"/>
    </row>
    <row r="88" spans="1:25">
      <c r="D88" s="222" t="s">
        <v>195</v>
      </c>
      <c r="K88" s="11"/>
    </row>
    <row r="89" spans="1:25">
      <c r="D89" s="23"/>
      <c r="K89" s="11"/>
    </row>
    <row r="90" spans="1:25">
      <c r="D90" s="222"/>
      <c r="K90" s="11"/>
    </row>
    <row r="91" spans="1:25">
      <c r="D91" s="222"/>
    </row>
  </sheetData>
  <sheetProtection sheet="1" objects="1" scenarios="1" formatCells="0" insertHyperlinks="0"/>
  <autoFilter ref="B6:AQ85" xr:uid="{00000000-0009-0000-0000-000003000000}"/>
  <mergeCells count="12">
    <mergeCell ref="L1:M2"/>
    <mergeCell ref="D1:J1"/>
    <mergeCell ref="D2:J2"/>
    <mergeCell ref="K1:K2"/>
    <mergeCell ref="L5:M5"/>
    <mergeCell ref="D5:K5"/>
    <mergeCell ref="D3:D4"/>
    <mergeCell ref="E3:E4"/>
    <mergeCell ref="I3:I4"/>
    <mergeCell ref="J3:J4"/>
    <mergeCell ref="K3:K4"/>
    <mergeCell ref="F3:G3"/>
  </mergeCells>
  <phoneticPr fontId="4" type="noConversion"/>
  <conditionalFormatting sqref="L1">
    <cfRule type="cellIs" dxfId="155" priority="8" stopIfTrue="1" operator="equal">
      <formula>"mindestens eine eingegebene Kontonummer ist falsch. Bitte überprüfen Sie die Fehlermeldungen in der Warnungs-/Fehlerspalte"</formula>
    </cfRule>
  </conditionalFormatting>
  <conditionalFormatting sqref="K7:K83">
    <cfRule type="cellIs" dxfId="154" priority="5" stopIfTrue="1" operator="notEqual">
      <formula>""</formula>
    </cfRule>
  </conditionalFormatting>
  <conditionalFormatting sqref="K6">
    <cfRule type="cellIs" dxfId="153" priority="2" stopIfTrue="1" operator="equal">
      <formula>"Bitte keine Zeilen einfügen; Bilanz wird unbrauchbar"</formula>
    </cfRule>
  </conditionalFormatting>
  <conditionalFormatting sqref="D5:K5">
    <cfRule type="cellIs" dxfId="152" priority="1" stopIfTrue="1" operator="equal">
      <formula>$B$1</formula>
    </cfRule>
  </conditionalFormatting>
  <hyperlinks>
    <hyperlink ref="L5:M5" r:id="rId1" display="Referenzen betrachten" xr:uid="{00000000-0004-0000-0300-000000000000}"/>
    <hyperlink ref="D5:K5" r:id="rId2" display="Die Testversion ist voll funktionsfähig und enthält Platz für 75 Buchungen in 260 Konten. Bestellungen für die grössere, lizenzierte Version (bis 3000 Buchungen in 350 Konten) kann mit diesem Link auf vereinsbuchhaltung.ch/bestellformular erworben werden." xr:uid="{00000000-0004-0000-0300-000001000000}"/>
  </hyperlinks>
  <pageMargins left="0.43307086614173229" right="0.43307086614173229" top="0.39370078740157483" bottom="0.59055118110236227" header="0.51181102362204722" footer="0.31496062992125984"/>
  <pageSetup paperSize="9" scale="95" orientation="portrait" r:id="rId3"/>
  <headerFooter alignWithMargins="0">
    <oddFooter>&amp;L&amp;8Ausdruck vom: &amp;D, &amp;T&amp;C&amp;8vereinsbuchhaltung.ch&amp;R&amp;8Seite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309"/>
  <sheetViews>
    <sheetView workbookViewId="0">
      <pane xSplit="3" ySplit="7" topLeftCell="D8" activePane="bottomRight" state="frozen"/>
      <selection pane="bottomRight" activeCell="A4" sqref="A4"/>
      <selection pane="bottomLeft" activeCell="A8" sqref="A8"/>
      <selection pane="topRight" activeCell="D1" sqref="D1"/>
    </sheetView>
  </sheetViews>
  <sheetFormatPr defaultColWidth="11.42578125" defaultRowHeight="12.75"/>
  <cols>
    <col min="10" max="10" width="12.140625" bestFit="1" customWidth="1"/>
    <col min="22" max="22" width="11.42578125" style="171"/>
    <col min="35" max="35" width="15.140625" customWidth="1"/>
    <col min="45" max="45" width="12.140625" customWidth="1"/>
    <col min="66" max="67" width="18.140625" customWidth="1"/>
    <col min="70" max="71" width="14.42578125" customWidth="1"/>
    <col min="72" max="72" width="12.85546875" customWidth="1"/>
  </cols>
  <sheetData>
    <row r="1" spans="1:72">
      <c r="D1" s="268" t="s">
        <v>196</v>
      </c>
      <c r="E1" s="268"/>
      <c r="F1" s="268"/>
      <c r="G1" s="268"/>
      <c r="H1" s="268"/>
      <c r="O1" t="s">
        <v>197</v>
      </c>
      <c r="P1" t="str">
        <f ca="1">IF(AND(ROUND(J280,2)=ROUND(I280,2),ROUND(K280,2)=ROUND(H280,2)),"Status ok","mindestens eine eingegebene Kontonummer ist falsch. Bitte überprüfen Sie die Fehlermeldungen in der Warnungs-/Fehlerspalte")</f>
        <v>Status ok</v>
      </c>
      <c r="Z1" t="s">
        <v>198</v>
      </c>
      <c r="AA1">
        <f>ROUND(MAX(Q7:Q276),0)-MAX(BC7:BC245)</f>
        <v>27</v>
      </c>
      <c r="AF1" t="s">
        <v>199</v>
      </c>
      <c r="AG1">
        <f>ROUND(MAX(R7:R276),0)-MAX(BD7:BD245)</f>
        <v>25</v>
      </c>
      <c r="AN1" t="s">
        <v>200</v>
      </c>
      <c r="AO1">
        <f>ROUND(MAX(O7:O276),0)-MAX(BA7:BA245)</f>
        <v>7</v>
      </c>
      <c r="AV1" t="s">
        <v>201</v>
      </c>
      <c r="AW1">
        <f>ROUND(MAX(P7:P276),0)-MAX(BB7:BB245)</f>
        <v>7</v>
      </c>
    </row>
    <row r="2" spans="1:72" ht="18">
      <c r="D2" s="268"/>
      <c r="E2" s="268"/>
      <c r="F2" s="268"/>
      <c r="G2" s="268"/>
      <c r="H2" s="268"/>
      <c r="J2" s="30" t="str">
        <f>IF(Journal!D1="Hier Vereins-/ oder Firmennamen eingeben","",Journal!D1)</f>
        <v>Hier STWEG-Namen eingeben</v>
      </c>
      <c r="K2" s="31"/>
      <c r="L2" s="31"/>
      <c r="M2" s="31"/>
      <c r="U2" t="str">
        <f>IF(OR(A8=Kontenplan!$C$3,A8=Kontenplan!$C$5),J8,"")</f>
        <v/>
      </c>
      <c r="Z2" t="s">
        <v>202</v>
      </c>
      <c r="AA2" s="32">
        <f>MAX(AA1,AG1)</f>
        <v>27</v>
      </c>
      <c r="AN2" t="s">
        <v>203</v>
      </c>
      <c r="AO2">
        <f>MAX(AO1,AW1)</f>
        <v>7</v>
      </c>
    </row>
    <row r="3" spans="1:72" ht="13.5" thickBot="1">
      <c r="B3" t="s">
        <v>204</v>
      </c>
      <c r="C3" s="223">
        <f ca="1">TODAY()</f>
        <v>45451</v>
      </c>
      <c r="M3" t="s">
        <v>205</v>
      </c>
      <c r="Z3" t="s">
        <v>206</v>
      </c>
      <c r="AA3">
        <f>ROUND(MAX(Q7:Q276),0)</f>
        <v>31</v>
      </c>
      <c r="AF3" t="s">
        <v>207</v>
      </c>
      <c r="AG3">
        <f>ROUND(MAX(R7:R276),0)</f>
        <v>29</v>
      </c>
      <c r="AN3" t="s">
        <v>208</v>
      </c>
      <c r="AO3">
        <f>ROUND(MAX(O7:O276),0)</f>
        <v>10</v>
      </c>
      <c r="AV3" t="s">
        <v>209</v>
      </c>
      <c r="AW3">
        <f>ROUND(MAX(P7:P276),0)</f>
        <v>9</v>
      </c>
    </row>
    <row r="4" spans="1:72">
      <c r="C4" s="33" t="s">
        <v>210</v>
      </c>
      <c r="D4" s="34"/>
      <c r="E4" s="35"/>
      <c r="F4" s="34"/>
      <c r="G4" s="35"/>
      <c r="H4" s="36"/>
      <c r="I4" s="34"/>
      <c r="J4" s="37"/>
      <c r="K4" s="38"/>
      <c r="L4" s="37"/>
      <c r="M4" s="38"/>
      <c r="R4" t="s">
        <v>211</v>
      </c>
      <c r="Z4" t="s">
        <v>212</v>
      </c>
      <c r="AA4" s="32">
        <f>MAX(AA3,AG3)</f>
        <v>31</v>
      </c>
      <c r="AN4" t="s">
        <v>213</v>
      </c>
      <c r="AO4">
        <f>MAX(AO3,AW3)</f>
        <v>10</v>
      </c>
    </row>
    <row r="5" spans="1:72" s="12" customFormat="1">
      <c r="A5"/>
      <c r="B5"/>
      <c r="C5" s="39" t="s">
        <v>214</v>
      </c>
      <c r="D5" s="271" t="s">
        <v>215</v>
      </c>
      <c r="E5" s="272"/>
      <c r="F5" s="271" t="s">
        <v>216</v>
      </c>
      <c r="G5" s="272"/>
      <c r="H5" s="271" t="s">
        <v>217</v>
      </c>
      <c r="I5" s="273"/>
      <c r="J5" s="269" t="s">
        <v>218</v>
      </c>
      <c r="K5" s="270"/>
      <c r="L5" s="269" t="s">
        <v>219</v>
      </c>
      <c r="M5" s="270"/>
      <c r="O5" t="s">
        <v>73</v>
      </c>
      <c r="P5" t="s">
        <v>74</v>
      </c>
      <c r="Q5" t="s">
        <v>75</v>
      </c>
      <c r="R5" t="s">
        <v>76</v>
      </c>
      <c r="S5"/>
      <c r="T5"/>
      <c r="U5"/>
      <c r="V5" s="171"/>
      <c r="W5" s="40" t="s">
        <v>67</v>
      </c>
      <c r="X5" s="40" t="s">
        <v>68</v>
      </c>
      <c r="BA5" s="12" t="str">
        <f>Kontenplan!R2</f>
        <v>Aktivtitel</v>
      </c>
      <c r="BB5" s="12" t="str">
        <f>Kontenplan!S2</f>
        <v>Passivtitel</v>
      </c>
      <c r="BC5" s="12" t="str">
        <f>Kontenplan!T2</f>
        <v>Aufwandstitel</v>
      </c>
      <c r="BD5" s="12" t="str">
        <f>Kontenplan!U2</f>
        <v>Ertragstitel</v>
      </c>
    </row>
    <row r="6" spans="1:72" s="40" customFormat="1">
      <c r="C6" s="39"/>
      <c r="D6" s="41"/>
      <c r="E6" s="42"/>
      <c r="G6" s="42"/>
      <c r="H6" s="41"/>
      <c r="J6" s="87" t="s">
        <v>220</v>
      </c>
      <c r="K6" s="88" t="s">
        <v>135</v>
      </c>
      <c r="L6" s="87" t="s">
        <v>221</v>
      </c>
      <c r="M6" s="88" t="s">
        <v>222</v>
      </c>
      <c r="O6" s="40">
        <v>0</v>
      </c>
      <c r="P6" s="40">
        <v>0</v>
      </c>
      <c r="Q6" s="40">
        <v>0</v>
      </c>
      <c r="R6" s="89">
        <v>0</v>
      </c>
      <c r="S6" s="89"/>
      <c r="T6" s="89"/>
      <c r="U6" s="89"/>
      <c r="V6" s="91"/>
      <c r="W6" s="40">
        <v>0</v>
      </c>
      <c r="X6" s="40">
        <v>0</v>
      </c>
      <c r="Z6" s="40" t="s">
        <v>220</v>
      </c>
      <c r="AB6" s="40" t="str">
        <f>CONCATENATE("Ist: ",Journal!D2)</f>
        <v>Ist: 20xx</v>
      </c>
      <c r="AC6" s="40" t="s">
        <v>223</v>
      </c>
      <c r="AF6" s="40" t="s">
        <v>135</v>
      </c>
      <c r="AH6" s="40" t="str">
        <f>CONCATENATE("Ist: ",Journal!D2)</f>
        <v>Ist: 20xx</v>
      </c>
      <c r="AI6" s="40" t="s">
        <v>223</v>
      </c>
      <c r="AN6" s="40" t="s">
        <v>221</v>
      </c>
      <c r="AQ6" s="40" t="s">
        <v>223</v>
      </c>
      <c r="AV6" s="40" t="s">
        <v>222</v>
      </c>
      <c r="AY6" s="40" t="s">
        <v>223</v>
      </c>
      <c r="BA6" s="40">
        <f>Kontenplan!R8</f>
        <v>0</v>
      </c>
      <c r="BB6" s="40">
        <f>Kontenplan!S8</f>
        <v>0</v>
      </c>
      <c r="BC6" s="40">
        <f>Kontenplan!T8</f>
        <v>0</v>
      </c>
      <c r="BD6" s="169">
        <f>Kontenplan!U8</f>
        <v>0</v>
      </c>
      <c r="BF6" s="40" t="s">
        <v>224</v>
      </c>
      <c r="BJ6" s="40" t="s">
        <v>225</v>
      </c>
      <c r="BN6" s="40" t="s">
        <v>226</v>
      </c>
      <c r="BR6" s="40" t="s">
        <v>227</v>
      </c>
    </row>
    <row r="7" spans="1:72" s="12" customFormat="1">
      <c r="A7" s="202">
        <f>Kontenplan!C9</f>
        <v>0</v>
      </c>
      <c r="B7" s="224">
        <f>Kontenplan!E9</f>
        <v>0</v>
      </c>
      <c r="C7" s="225">
        <f>Kontenplan!F9</f>
        <v>0</v>
      </c>
      <c r="D7" s="43">
        <f>IF(B7=0,0,SUMIF(Journal!$F$7:$F$83,Calc!B7,Journal!$I$7:$I$83))</f>
        <v>0</v>
      </c>
      <c r="E7" s="15">
        <f>IF(B7=0,0,SUMIF(Journal!$G$7:$M81,Calc!B7,Journal!$I$7:$I$83))</f>
        <v>0</v>
      </c>
      <c r="F7" s="44">
        <f>IF(D7-E7&gt;0,D7-E7,0)</f>
        <v>0</v>
      </c>
      <c r="G7" s="15">
        <f>IF(E7&gt;D7,E7-D7,0)</f>
        <v>0</v>
      </c>
      <c r="H7" s="14" t="str">
        <f>IF(AND(OR(A7="Aktivkonto",A7="Passivkonto"),F7&gt;0),F7," ")</f>
        <v xml:space="preserve"> </v>
      </c>
      <c r="I7" s="43" t="str">
        <f>IF(AND(OR(A7="Aktivkonto",A7="Passivkonto"),G7&gt;0),G7," ")</f>
        <v xml:space="preserve"> </v>
      </c>
      <c r="J7" s="45" t="str">
        <f>IF(AND(OR(A7="Aufwandskonto",A7="Ertragskonto",A7="Ertragsminderung",A7="a.o.Erfolgskonto"),F7&gt;0),F7," ")</f>
        <v xml:space="preserve"> </v>
      </c>
      <c r="K7" s="48" t="str">
        <f>IF(AND(OR(A7="Aufwandskonto",A7="Ertragskonto",A7="Ertragsminderung",A7="a.o.Erfolgskonto"),G7&gt;0),G7," ")</f>
        <v xml:space="preserve"> </v>
      </c>
      <c r="L7" s="45" t="str">
        <f t="shared" ref="L7:M10" si="0">H7</f>
        <v xml:space="preserve"> </v>
      </c>
      <c r="M7" s="48" t="str">
        <f t="shared" si="0"/>
        <v xml:space="preserve"> </v>
      </c>
      <c r="N7" s="24"/>
      <c r="O7" s="12">
        <f t="shared" ref="O7:P10" si="1">IF(OR(BA7-BA6=1,$A7=O$5),ROUND(O6+1,0),O6+0.0002)</f>
        <v>1</v>
      </c>
      <c r="P7" s="12">
        <f t="shared" si="1"/>
        <v>2.0000000000000001E-4</v>
      </c>
      <c r="Q7" s="12">
        <f>IF(OR($A7=Q$5,BC7-BC6=1),ROUND(Q6+1,0),Q6+0.0002)</f>
        <v>2.0000000000000001E-4</v>
      </c>
      <c r="R7" s="12">
        <f>IF(OR(BD7-BD6=1,$A7=R$5),ROUND(R6+1,0),R6+0.0002)</f>
        <v>2.0000000000000001E-4</v>
      </c>
      <c r="S7" s="12">
        <f t="shared" ref="S7:T10" si="2">B7</f>
        <v>0</v>
      </c>
      <c r="T7" s="12">
        <f t="shared" si="2"/>
        <v>0</v>
      </c>
      <c r="U7" s="43">
        <f>IF(OR(A7=Kontenplan!$C$3,A7=Kontenplan!$C$5),F7-G7,G7-F7)</f>
        <v>0</v>
      </c>
      <c r="V7" s="171">
        <f t="shared" ref="V7:V70" si="3">V6+1</f>
        <v>1</v>
      </c>
      <c r="W7" s="12">
        <f>IF(Z7=0,ROUND(W6+1,0),W6+0.00001)</f>
        <v>1</v>
      </c>
      <c r="X7" s="12">
        <f>IF(AF7=0,ROUND(X6+1,0),X6+0.00001)</f>
        <v>1</v>
      </c>
      <c r="Y7" s="12" t="str">
        <f>IF(Z7=0,VLOOKUP(W7,Kontenplan!$Y$9:$AA$551,3),"")</f>
        <v>Aufwände nach Verbrauch</v>
      </c>
      <c r="Z7" s="12">
        <f>VLOOKUP(V7,$Q$7:$S$276,3)</f>
        <v>0</v>
      </c>
      <c r="AA7" s="12" t="str">
        <f ca="1">IF(AA$4+1=V7,$C$280,IF(AA$4+2=V7,"Total",IF(VLOOKUP(V7,$Q$7:$T$276,4)=0,"",VLOOKUP(V7,$Q$7:$T$276,4))))</f>
        <v/>
      </c>
      <c r="AB7" s="46">
        <f ca="1">IF(AA$4+2=V7,"c",IF(AA7="Gewinn",J$280,IF(AA$4+2&lt;V7,"",VLOOKUP(V7,$Q$7:$U$276,5))))</f>
        <v>0</v>
      </c>
      <c r="AC7" s="46" t="str">
        <f ca="1">IF(AA7="Total",BN7,IF(AND(Z8=0,Z7&gt;0),BP7,IF(AND(Z7&gt;0,Z8&gt;0),"",IF(Z7&gt;0,0,""))))</f>
        <v/>
      </c>
      <c r="AD7" s="47"/>
      <c r="AE7" s="12" t="str">
        <f>IF(AF7=0,VLOOKUP(X7,Kontenplan!$Z$9:$AB$551,3),"")</f>
        <v>Ertrag</v>
      </c>
      <c r="AF7" s="47">
        <f>VLOOKUP(V7,$R$7:$S$276,2)</f>
        <v>0</v>
      </c>
      <c r="AG7" s="12" t="str">
        <f ca="1">IF(AA$4+1=V7,$C$280,IF(AA$4+2=V7,"Total",IF(VLOOKUP(V7,$R$7:$T$276,3)=0,"",VLOOKUP(V7,$R$7:$T$276,3))))</f>
        <v/>
      </c>
      <c r="AH7" s="46">
        <f ca="1">IF(AG7="Verlust",K$280,IF(AG7="Total","c",IF(AA$4+2&lt;V7,"",VLOOKUP(V7,$R$7:$U$276,4))))</f>
        <v>0</v>
      </c>
      <c r="AI7" s="46" t="str">
        <f ca="1">IF(AG7="Total",BR7,IF(AND(AF8=0,AF7&gt;0),BT7,IF(AND(AF7&gt;0,AF8&gt;0),"",IF(AF7&gt;0,0,""))))</f>
        <v/>
      </c>
      <c r="AJ7" s="46"/>
      <c r="AK7" s="147">
        <f ca="1">IF(OR(AK6+0.7&gt;AL6,AQ7=""),AK6+0.0001,ROUND(AK6+1,0))</f>
        <v>1E-4</v>
      </c>
      <c r="AL7" s="147">
        <f>IF(OR(AM7="",AM7=0,AM8&lt;&gt;0),AL6+0.0001,ROUND(AL6+1,0))</f>
        <v>1E-4</v>
      </c>
      <c r="AM7" s="12" t="str">
        <f>IF(V7&lt;=AO$3,VLOOKUP(V7,Kontenplan!$A$9:$D$278,4),"")</f>
        <v>Umlaufvermögen</v>
      </c>
      <c r="AN7" s="12">
        <f>VLOOKUP(V7,$O$7:$S$276,5)</f>
        <v>0</v>
      </c>
      <c r="AO7" s="12" t="str">
        <f ca="1">IF($AO$4+1=V7,C$280,IF($AO$4+2=V7,"Total",IF(VLOOKUP(V7,$O$7:$T$276,6)=0,"",(VLOOKUP(V7,$O$7:$T$276,6)))))</f>
        <v/>
      </c>
      <c r="AP7" s="46">
        <f ca="1">IF(AO$4+2=V7,"c",IF(AA7="Verlust",H$280,IF(AO$4+2&lt;V7,"",VLOOKUP(V7,$O$7:$U$276,7))))</f>
        <v>0</v>
      </c>
      <c r="AQ7" s="46" t="str">
        <f ca="1">IF(AO7="Total",BF7,IF(AND(AN8=0,AN7&gt;0),BH7,IF(AND(AN7&gt;0,AN8&gt;0),"",IF(AN7&gt;0,0,""))))</f>
        <v/>
      </c>
      <c r="AR7" s="46"/>
      <c r="AS7" s="147">
        <f ca="1">IF(AW7="Gewinn",ROUND(AS6+1,0),IF(OR(AS6+0.7&gt;AT6,AY7=""),AS6+0.0001,ROUND(AS6+1,0)))</f>
        <v>1E-4</v>
      </c>
      <c r="AT7" s="147">
        <f>IF(OR(AU7="",AU7=0,AU8&lt;&gt;0),AT6+0.0001,ROUND(AT6+1,0))</f>
        <v>1</v>
      </c>
      <c r="AU7" s="47" t="str">
        <f>IF(V7&lt;=AW$3,VLOOKUP(AO$3+V7,Kontenplan!$A$9:$D$278,4),"")</f>
        <v>Fremdkapital</v>
      </c>
      <c r="AV7" s="12">
        <f>VLOOKUP(V7,$P$7:$S$276,4)</f>
        <v>0</v>
      </c>
      <c r="AW7" s="12" t="str">
        <f ca="1">IF($AO$4+1=V7,C$280,IF($AO$4+2=V7,"Total",IF(VLOOKUP(V7,$P$7:$T$276,5)=0,"",(VLOOKUP(V7,$P$7:$T$276,5)))))</f>
        <v/>
      </c>
      <c r="AX7" s="46">
        <f ca="1">IF(AW7="Gewinn",I$280,IF(AW7="Total","c",IF(AO$4+2&lt;V7,"",VLOOKUP(V7,$P$7:$U$276,6))))</f>
        <v>0</v>
      </c>
      <c r="AY7" s="46" t="str">
        <f ca="1">IF(AW7="Total",BJ7,IF(AND(AV8=0,AV7&gt;0),BL7,IF(AND(AV7&gt;0,AV8&gt;0),"",IF(AV7&gt;0,0,""))))</f>
        <v/>
      </c>
      <c r="BA7" s="12">
        <f>Kontenplan!R9</f>
        <v>1</v>
      </c>
      <c r="BB7" s="12">
        <f>Kontenplan!S9</f>
        <v>0</v>
      </c>
      <c r="BC7" s="12">
        <f>Kontenplan!T9</f>
        <v>0</v>
      </c>
      <c r="BD7" s="170">
        <f>Kontenplan!U9</f>
        <v>0</v>
      </c>
      <c r="BF7" s="24">
        <f ca="1">SUM(AP$7:AP7)</f>
        <v>0</v>
      </c>
      <c r="BG7" s="46">
        <v>0</v>
      </c>
      <c r="BH7" s="24">
        <f ca="1">BF7-BG7</f>
        <v>0</v>
      </c>
      <c r="BI7" s="24"/>
      <c r="BJ7" s="24">
        <f ca="1">SUM(AX$7:AX7)</f>
        <v>0</v>
      </c>
      <c r="BK7" s="24">
        <v>0</v>
      </c>
      <c r="BL7" s="24">
        <f ca="1">BJ7-BK7</f>
        <v>0</v>
      </c>
      <c r="BN7" s="24">
        <f ca="1">SUM(AB$7:AB7)</f>
        <v>0</v>
      </c>
      <c r="BO7" s="46">
        <v>0</v>
      </c>
      <c r="BP7" s="24">
        <f ca="1">BN7-BO7</f>
        <v>0</v>
      </c>
      <c r="BR7" s="24">
        <f ca="1">SUM(AH$7:AH7)</f>
        <v>0</v>
      </c>
      <c r="BS7" s="46">
        <v>0</v>
      </c>
      <c r="BT7" s="24">
        <f ca="1">BR7-BS7</f>
        <v>0</v>
      </c>
    </row>
    <row r="8" spans="1:72" s="12" customFormat="1">
      <c r="A8" s="202">
        <f>Kontenplan!C10</f>
        <v>0</v>
      </c>
      <c r="B8" s="224">
        <f>Kontenplan!E10</f>
        <v>0</v>
      </c>
      <c r="C8" s="225">
        <f>Kontenplan!F10</f>
        <v>0</v>
      </c>
      <c r="D8" s="43">
        <f>IF(B8=0,0,SUMIF(Journal!$F$7:$F$83,Calc!B8,Journal!$I$7:$I$83))</f>
        <v>0</v>
      </c>
      <c r="E8" s="15">
        <f>IF(B8=0,0,SUMIF(Journal!$G$7:$M82,Calc!B8,Journal!$I$7:$I$83))</f>
        <v>0</v>
      </c>
      <c r="F8" s="44">
        <f>IF(D8-E8&gt;0,D8-E8,0)</f>
        <v>0</v>
      </c>
      <c r="G8" s="15">
        <f>IF(E8&gt;D8,E8-D8,0)</f>
        <v>0</v>
      </c>
      <c r="H8" s="14" t="str">
        <f>IF(AND(OR(A8="Aktivkonto",A8="Passivkonto"),F8&gt;0),F8," ")</f>
        <v xml:space="preserve"> </v>
      </c>
      <c r="I8" s="43" t="str">
        <f>IF(AND(OR(A8="Aktivkonto",A8="Passivkonto"),G8&gt;0),G8," ")</f>
        <v xml:space="preserve"> </v>
      </c>
      <c r="J8" s="45" t="str">
        <f>IF(AND(OR(A8="Aufwandskonto",A8="Ertragskonto",A8="Ertragsminderung",A8="a.o.Erfolgskonto"),F8&gt;0),F8," ")</f>
        <v xml:space="preserve"> </v>
      </c>
      <c r="K8" s="48" t="str">
        <f>IF(AND(OR(A8="Aufwandskonto",A8="Ertragskonto",A8="Ertragsminderung",A8="a.o.Erfolgskonto"),G8&gt;0),G8," ")</f>
        <v xml:space="preserve"> </v>
      </c>
      <c r="L8" s="45" t="str">
        <f t="shared" si="0"/>
        <v xml:space="preserve"> </v>
      </c>
      <c r="M8" s="48" t="str">
        <f t="shared" si="0"/>
        <v xml:space="preserve"> </v>
      </c>
      <c r="N8" s="24"/>
      <c r="O8" s="12">
        <f t="shared" si="1"/>
        <v>2</v>
      </c>
      <c r="P8" s="12">
        <f t="shared" si="1"/>
        <v>4.0000000000000002E-4</v>
      </c>
      <c r="Q8" s="12">
        <f>IF(OR($A8=Q$5,BC8-BC7=1),ROUND(Q7+1,0),Q7+0.0002)</f>
        <v>4.0000000000000002E-4</v>
      </c>
      <c r="R8" s="12">
        <f>IF(OR(BD8-BD7=1,$A8=R$5),ROUND(R7+1,0),R7+0.0002)</f>
        <v>4.0000000000000002E-4</v>
      </c>
      <c r="S8" s="12">
        <f t="shared" si="2"/>
        <v>0</v>
      </c>
      <c r="T8" s="12">
        <f t="shared" si="2"/>
        <v>0</v>
      </c>
      <c r="U8" s="43">
        <f>IF(OR(A8=Kontenplan!$C$3,A8=Kontenplan!$C$5),F8-G8,G8-F8)</f>
        <v>0</v>
      </c>
      <c r="V8" s="171">
        <f t="shared" si="3"/>
        <v>2</v>
      </c>
      <c r="W8" s="12">
        <f t="shared" ref="W8:W71" si="4">IF(Z8=0,ROUND(W7+1,0),W7+0.00001)</f>
        <v>1.0000100000000001</v>
      </c>
      <c r="X8" s="12">
        <f t="shared" ref="X8:X71" si="5">IF(AF8=0,ROUND(X7+1,0),X7+0.00001)</f>
        <v>2</v>
      </c>
      <c r="Y8" s="12" t="str">
        <f>IF(Z8=0,VLOOKUP(W8,Kontenplan!$Y$9:$AA$551,3),"")</f>
        <v/>
      </c>
      <c r="Z8" s="12">
        <f>VLOOKUP(V8,$Q$7:$S$276,3)</f>
        <v>3000</v>
      </c>
      <c r="AA8" s="12" t="str">
        <f ca="1">IF(AA$4+1=V8,$C$280,IF(AA$4+2=V8,"Total",IF(VLOOKUP(V8,$Q$7:$T$276,4)=0,"",VLOOKUP(V8,$Q$7:$T$276,4))))</f>
        <v xml:space="preserve">Heizung: Strom </v>
      </c>
      <c r="AB8" s="46">
        <f ca="1">IF($H$284=0,0,IF(AA$4+2=V8,"c",IF(AA8="Gewinn",J$280,IF(AA$4+2&lt;V8,"",VLOOKUP(V8,$Q$7:$U$276,5)))))</f>
        <v>0</v>
      </c>
      <c r="AC8" s="46" t="str">
        <f ca="1">IF(AA8="Gewinn",AB8,IF(AA8="Total",BN8,IF(AND(Z9=0,Z8&gt;0),BP8,IF(AND(Z8&gt;0,Z9&gt;0),"",IF(Z8&gt;0,0,"")))))</f>
        <v/>
      </c>
      <c r="AD8" s="47"/>
      <c r="AE8" s="12" t="str">
        <f>IF(AF8=0,VLOOKUP(X8,Kontenplan!$Z$9:$AB$551,3),"")</f>
        <v>Akkontozahlungen</v>
      </c>
      <c r="AF8" s="47">
        <f>VLOOKUP(V8,$R$7:$S$276,2)</f>
        <v>0</v>
      </c>
      <c r="AG8" s="12" t="str">
        <f ca="1">IF(AA$4+1=V8,$C$280,IF(AA$4+2=V8,"Total",IF(VLOOKUP(V8,$R$7:$T$276,3)=0,"",VLOOKUP(V8,$R$7:$T$276,3))))</f>
        <v/>
      </c>
      <c r="AH8" s="46">
        <f ca="1">IF($H$284=0,0,IF(AG8="Verlust",K$280,IF(AG8="Total","c",IF(AA$4+2&lt;V8,"",VLOOKUP(V8,$R$7:$U$276,4)))))</f>
        <v>0</v>
      </c>
      <c r="AI8" s="46" t="str">
        <f ca="1">IF(AG8="Verlust",AH8,IF(AG8="Total",BR8,IF(AND(AF9=0,AF8&gt;0),BT8,IF(AND(AF8&gt;0,AF9&gt;0),"",IF(AF8&gt;0,0,"")))))</f>
        <v/>
      </c>
      <c r="AJ8" s="46"/>
      <c r="AK8" s="147">
        <f ca="1">IF(OR(AK7+0.7&gt;AL7,AQ8=""),AK7+0.0001,ROUND(AK7+1,0))</f>
        <v>2.0000000000000001E-4</v>
      </c>
      <c r="AL8" s="147">
        <f>IF(OR(AM8="",AM8=0,AM9&lt;&gt;0),AL7+0.0001,ROUND(AL7+1,0))</f>
        <v>1</v>
      </c>
      <c r="AM8" s="12" t="str">
        <f>IF(V8&lt;=AO$3,VLOOKUP(V8,Kontenplan!$A$9:$D$278,4),"")</f>
        <v>liquide Mittel</v>
      </c>
      <c r="AN8" s="12">
        <f>VLOOKUP(V8,$O$7:$S$276,5)</f>
        <v>0</v>
      </c>
      <c r="AO8" s="12" t="str">
        <f ca="1">IF($AO$4+1=V8,C$280,IF($AO$4+2=V8,"Total",IF(VLOOKUP(V8,$O$7:$T$276,6)=0,"",(VLOOKUP(V8,$O$7:$T$276,6)))))</f>
        <v/>
      </c>
      <c r="AP8" s="46">
        <f ca="1">IF($H$284=0,0,IF(AO$4+2=V8,"c",IF(AO8="Verlust",H$280,IF(AO$4+2&lt;V8,"",VLOOKUP(V8,$O$7:$U$276,7)))))</f>
        <v>0</v>
      </c>
      <c r="AQ8" s="46" t="str">
        <f ca="1">IF(AO8="Verlust",AP8,IF(AO8="Total",BF8,IF(AND(AN9=0,AN8&gt;0),BH8,IF(AND(AN8&gt;0,AN9&gt;0),"",IF(AN8&gt;0,0,"")))))</f>
        <v/>
      </c>
      <c r="AR8" s="46"/>
      <c r="AS8" s="147">
        <f ca="1">IF(AW8="Gewinn",ROUND(AS7+1,0),IF(OR(AS7+0.7&gt;AT7,AY8=""),AS7+0.0001,ROUND(AS7+1,0)))</f>
        <v>2.0000000000000001E-4</v>
      </c>
      <c r="AT8" s="147">
        <f>IF(OR(AU8="",AU8=0,AU9&lt;&gt;0),AT7+0.0001,ROUND(AT7+1,0))</f>
        <v>1.0001</v>
      </c>
      <c r="AU8" s="47">
        <f>IF(V8&lt;=AW$3,VLOOKUP(AO$3+V8,Kontenplan!$A$9:$D$278,4),"")</f>
        <v>0</v>
      </c>
      <c r="AV8" s="12">
        <f>VLOOKUP(V8,$P$7:$S$276,4)</f>
        <v>2000</v>
      </c>
      <c r="AW8" s="12" t="str">
        <f ca="1">IF($AO$4+1=V8,C$280,IF($AO$4+2=V8,"Total",IF(VLOOKUP(V8,$P$7:$T$276,5)=0,"",(VLOOKUP(V8,$P$7:$T$276,5)))))</f>
        <v>Kreditoren</v>
      </c>
      <c r="AX8" s="46">
        <f ca="1">IF($H$284=0,0,IF(AW8="Gewinn",I$280,IF(AW8="Total","c",IF(AO$4+2&lt;V8,"",VLOOKUP(V8,$P$7:$U$276,6)))))</f>
        <v>0</v>
      </c>
      <c r="AY8" s="46" t="str">
        <f ca="1">IF(AW8="Gewinn",AX8,IF(AW8="Total",BJ8,IF(AND(AV9=0,AV8&gt;0),BL8,IF(AND(AV8&gt;0,AV9&gt;0),"",IF(AV8&gt;0,0,"")))))</f>
        <v/>
      </c>
      <c r="BA8" s="12">
        <f>Kontenplan!R10</f>
        <v>2</v>
      </c>
      <c r="BB8" s="12">
        <f>Kontenplan!S10</f>
        <v>0</v>
      </c>
      <c r="BC8" s="12">
        <f>Kontenplan!T10</f>
        <v>0</v>
      </c>
      <c r="BD8" s="170">
        <f>Kontenplan!U10</f>
        <v>0</v>
      </c>
      <c r="BF8" s="24">
        <f ca="1">SUM(AP$7:AP8)</f>
        <v>0</v>
      </c>
      <c r="BG8" s="46">
        <f ca="1">SUM(AQ$7:AQ7)</f>
        <v>0</v>
      </c>
      <c r="BH8" s="24">
        <f ca="1">BF8-BG8</f>
        <v>0</v>
      </c>
      <c r="BI8" s="24"/>
      <c r="BJ8" s="24">
        <f ca="1">SUM(AX$7:AX8)</f>
        <v>0</v>
      </c>
      <c r="BK8" s="24">
        <f ca="1">SUM(AY$7:AY7)</f>
        <v>0</v>
      </c>
      <c r="BL8" s="24">
        <f ca="1">BJ8-BK8</f>
        <v>0</v>
      </c>
      <c r="BN8" s="24">
        <f ca="1">SUM(AB$7:AB8)</f>
        <v>0</v>
      </c>
      <c r="BO8" s="46">
        <f ca="1">SUM(AC$7:AC7)</f>
        <v>0</v>
      </c>
      <c r="BP8" s="24">
        <f ca="1">BN8-BO8</f>
        <v>0</v>
      </c>
      <c r="BR8" s="24">
        <f ca="1">SUM(AH$7:AH8)</f>
        <v>0</v>
      </c>
      <c r="BS8" s="46">
        <f ca="1">SUM(AI$7:AI7)</f>
        <v>0</v>
      </c>
      <c r="BT8" s="24">
        <f ca="1">BR8-BS8</f>
        <v>0</v>
      </c>
    </row>
    <row r="9" spans="1:72" s="12" customFormat="1">
      <c r="A9" s="202" t="str">
        <f>Kontenplan!C11</f>
        <v>Aktivkonto</v>
      </c>
      <c r="B9" s="224">
        <f>Kontenplan!E11</f>
        <v>1000</v>
      </c>
      <c r="C9" s="225" t="str">
        <f>Kontenplan!F11</f>
        <v>Kasse</v>
      </c>
      <c r="D9" s="43">
        <f>IF(B9=0,0,SUMIF(Journal!$F$7:$F$83,Calc!B9,Journal!$I$7:$I$83))</f>
        <v>40</v>
      </c>
      <c r="E9" s="15">
        <f ca="1">IF(B9=0,0,SUMIF(Journal!$G$7:$M83,Calc!B9,Journal!$I$7:$I$83))</f>
        <v>0</v>
      </c>
      <c r="F9" s="44">
        <f ca="1">IF(D9-E9&gt;0,D9-E9,0)</f>
        <v>40</v>
      </c>
      <c r="G9" s="15">
        <f ca="1">IF(E9&gt;D9,E9-D9,0)</f>
        <v>0</v>
      </c>
      <c r="H9" s="14">
        <f ca="1">IF(AND(OR(A9="Aktivkonto",A9="Passivkonto"),F9&gt;0),F9," ")</f>
        <v>40</v>
      </c>
      <c r="I9" s="43" t="str">
        <f ca="1">IF(AND(OR(A9="Aktivkonto",A9="Passivkonto"),G9&gt;0),G9," ")</f>
        <v xml:space="preserve"> </v>
      </c>
      <c r="J9" s="45" t="str">
        <f ca="1">IF(AND(OR(A9="Aufwandskonto",A9="Ertragskonto",A9="Ertragsminderung",A9="a.o.Erfolgskonto"),F9&gt;0),F9," ")</f>
        <v xml:space="preserve"> </v>
      </c>
      <c r="K9" s="48" t="str">
        <f ca="1">IF(AND(OR(A9="Aufwandskonto",A9="Ertragskonto",A9="Ertragsminderung",A9="a.o.Erfolgskonto"),G9&gt;0),G9," ")</f>
        <v xml:space="preserve"> </v>
      </c>
      <c r="L9" s="45">
        <f t="shared" ca="1" si="0"/>
        <v>40</v>
      </c>
      <c r="M9" s="48" t="str">
        <f t="shared" ca="1" si="0"/>
        <v xml:space="preserve"> </v>
      </c>
      <c r="N9" s="24"/>
      <c r="O9" s="12">
        <f t="shared" si="1"/>
        <v>3</v>
      </c>
      <c r="P9" s="12">
        <f t="shared" si="1"/>
        <v>6.0000000000000006E-4</v>
      </c>
      <c r="Q9" s="12">
        <f>IF(OR($A9=Q$5,BC9-BC8=1),ROUND(Q8+1,0),Q8+0.0002)</f>
        <v>6.0000000000000006E-4</v>
      </c>
      <c r="R9" s="12">
        <f>IF(OR(BD9-BD8=1,$A9=R$5),ROUND(R8+1,0),R8+0.0002)</f>
        <v>6.0000000000000006E-4</v>
      </c>
      <c r="S9" s="12">
        <f t="shared" si="2"/>
        <v>1000</v>
      </c>
      <c r="T9" s="12" t="str">
        <f t="shared" si="2"/>
        <v>Kasse</v>
      </c>
      <c r="U9" s="43">
        <f ca="1">IF(OR(A9=Kontenplan!$C$3,A9=Kontenplan!$C$5),F9-G9,G9-F9)</f>
        <v>40</v>
      </c>
      <c r="V9" s="171">
        <f t="shared" si="3"/>
        <v>3</v>
      </c>
      <c r="W9" s="12">
        <f t="shared" si="4"/>
        <v>1.0000200000000001</v>
      </c>
      <c r="X9" s="12">
        <f t="shared" si="5"/>
        <v>2.0000100000000001</v>
      </c>
      <c r="Y9" s="12" t="str">
        <f>IF(Z9=0,VLOOKUP(W9,Kontenplan!$Y$9:$AA$551,3),"")</f>
        <v/>
      </c>
      <c r="Z9" s="12">
        <f>VLOOKUP(V9,$Q$7:$S$276,3)</f>
        <v>3020</v>
      </c>
      <c r="AA9" s="12" t="str">
        <f ca="1">IF(AA$4+1=V9,$C$280,IF(AA$4+2=V9,"Total",IF(VLOOKUP(V9,$Q$7:$T$276,4)=0,"",VLOOKUP(V9,$Q$7:$T$276,4))))</f>
        <v>Aufwand 2 nach Verbrauch</v>
      </c>
      <c r="AB9" s="46">
        <f ca="1">IF($H$284=0,0,IF(AA$4+2=V9,"c",IF(AA9="Gewinn",J$280,IF(AA$4+2&lt;V9,"",VLOOKUP(V9,$Q$7:$U$276,5)))))</f>
        <v>0</v>
      </c>
      <c r="AC9" s="46" t="str">
        <f ca="1">IF(AA9="Gewinn",AB9,IF(AA9="Total",BN9,IF(AND(Z10=0,Z9&gt;0),BP9,IF(AND(Z9&gt;0,Z10&gt;0),"",IF(Z9&gt;0,0,"")))))</f>
        <v/>
      </c>
      <c r="AD9" s="47"/>
      <c r="AE9" s="12" t="str">
        <f>IF(AF9=0,VLOOKUP(X9,Kontenplan!$Z$9:$AB$551,3),"")</f>
        <v/>
      </c>
      <c r="AF9" s="47">
        <f>VLOOKUP(V9,$R$7:$S$276,2)</f>
        <v>5010</v>
      </c>
      <c r="AG9" s="12" t="str">
        <f ca="1">IF(AA$4+1=V9,$C$280,IF(AA$4+2=V9,"Total",IF(VLOOKUP(V9,$R$7:$T$276,3)=0,"",VLOOKUP(V9,$R$7:$T$276,3))))</f>
        <v>NK-Akkontozhlg: Partei 1</v>
      </c>
      <c r="AH9" s="46">
        <f ca="1">IF($H$284=0,0,IF(AG9="Verlust",K$280,IF(AG9="Total","c",IF(AA$4+2&lt;V9,"",VLOOKUP(V9,$R$7:$U$276,4)))))</f>
        <v>0</v>
      </c>
      <c r="AI9" s="46" t="str">
        <f ca="1">IF(AG9="Verlust",AH9,IF(AG9="Total",BR9,IF(AND(AF10=0,AF9&gt;0),BT9,IF(AND(AF9&gt;0,AF10&gt;0),"",IF(AF9&gt;0,0,"")))))</f>
        <v/>
      </c>
      <c r="AJ9" s="46"/>
      <c r="AK9" s="147">
        <f ca="1">IF(OR(AK8+0.7&gt;AL8,AQ9=""),AK8+0.0001,ROUND(AK8+1,0))</f>
        <v>3.0000000000000003E-4</v>
      </c>
      <c r="AL9" s="147">
        <f>IF(OR(AM9="",AM9=0,AM10&lt;&gt;0),AL8+0.0001,ROUND(AL8+1,0))</f>
        <v>1.0001</v>
      </c>
      <c r="AM9" s="12">
        <f>IF(V9&lt;=AO$3,VLOOKUP(V9,Kontenplan!$A$9:$D$278,4),"")</f>
        <v>0</v>
      </c>
      <c r="AN9" s="12">
        <f>VLOOKUP(V9,$O$7:$S$276,5)</f>
        <v>1000</v>
      </c>
      <c r="AO9" s="12" t="str">
        <f ca="1">IF($AO$4+1=V9,C$280,IF($AO$4+2=V9,"Total",IF(VLOOKUP(V9,$O$7:$T$276,6)=0,"",(VLOOKUP(V9,$O$7:$T$276,6)))))</f>
        <v>Kasse</v>
      </c>
      <c r="AP9" s="46">
        <f ca="1">IF($H$284=0,0,IF(AO$4+2=V9,"c",IF(AO9="Verlust",H$280,IF(AO$4+2&lt;V9,"",VLOOKUP(V9,$O$7:$U$276,7)))))</f>
        <v>40</v>
      </c>
      <c r="AQ9" s="46" t="str">
        <f ca="1">IF(AO9="Verlust",AP9,IF(AO9="Total",BF9,IF(AND(AN10=0,AN9&gt;0),BH9,IF(AND(AN9&gt;0,AN10&gt;0),"",IF(AN9&gt;0,0,"")))))</f>
        <v/>
      </c>
      <c r="AR9" s="46"/>
      <c r="AS9" s="147">
        <f ca="1">IF(AW9="Gewinn",ROUND(AS8+1,0),IF(OR(AS8+0.7&gt;AT8,AY9=""),AS8+0.0001,ROUND(AS8+1,0)))</f>
        <v>3.0000000000000003E-4</v>
      </c>
      <c r="AT9" s="147">
        <f>IF(OR(AU9="",AU9=0,AU10&lt;&gt;0),AT8+0.0001,ROUND(AT8+1,0))</f>
        <v>1.0002</v>
      </c>
      <c r="AU9" s="47">
        <f>IF(V9&lt;=AW$3,VLOOKUP(AO$3+V9,Kontenplan!$A$9:$D$278,4),"")</f>
        <v>0</v>
      </c>
      <c r="AV9" s="12">
        <f>VLOOKUP(V9,$P$7:$S$276,4)</f>
        <v>2300</v>
      </c>
      <c r="AW9" s="12" t="str">
        <f ca="1">IF($AO$4+1=V9,C$280,IF($AO$4+2=V9,"Total",IF(VLOOKUP(V9,$P$7:$T$276,5)=0,"",(VLOOKUP(V9,$P$7:$T$276,5)))))</f>
        <v>Transitorische Passiven</v>
      </c>
      <c r="AX9" s="46">
        <f t="shared" ref="AX9:AX72" ca="1" si="6">IF($H$284=0,0,IF(AW9="Gewinn",I$280,IF(AW9="Total","c",IF(AO$4+2&lt;V9,"",VLOOKUP(V9,$P$7:$U$276,6)))))</f>
        <v>0</v>
      </c>
      <c r="AY9" s="46" t="str">
        <f ca="1">IF(AW9="Gewinn",AX9,IF(AW9="Total",BJ9,IF(AND(AV10=0,AV9&gt;0),BL9,IF(AND(AV9&gt;0,AV10&gt;0),"",IF(AV9&gt;0,0,"")))))</f>
        <v/>
      </c>
      <c r="BA9" s="12">
        <f>Kontenplan!R11</f>
        <v>2</v>
      </c>
      <c r="BB9" s="12">
        <f>Kontenplan!S11</f>
        <v>0</v>
      </c>
      <c r="BC9" s="12">
        <f>Kontenplan!T11</f>
        <v>0</v>
      </c>
      <c r="BD9" s="170">
        <f>Kontenplan!U11</f>
        <v>0</v>
      </c>
      <c r="BF9" s="24">
        <f ca="1">SUM(AP$7:AP9)</f>
        <v>40</v>
      </c>
      <c r="BG9" s="46">
        <f ca="1">SUM(AQ$7:AQ8)</f>
        <v>0</v>
      </c>
      <c r="BH9" s="24">
        <f ca="1">BF9-BG9</f>
        <v>40</v>
      </c>
      <c r="BI9" s="24"/>
      <c r="BJ9" s="24">
        <f ca="1">SUM(AX$7:AX9)</f>
        <v>0</v>
      </c>
      <c r="BK9" s="24">
        <f ca="1">SUM(AY$7:AY8)</f>
        <v>0</v>
      </c>
      <c r="BL9" s="24">
        <f ca="1">BJ9-BK9</f>
        <v>0</v>
      </c>
      <c r="BN9" s="24">
        <f ca="1">SUM(AB$7:AB9)</f>
        <v>0</v>
      </c>
      <c r="BO9" s="46">
        <f ca="1">SUM(AC$7:AC8)</f>
        <v>0</v>
      </c>
      <c r="BP9" s="24">
        <f ca="1">BN9-BO9</f>
        <v>0</v>
      </c>
      <c r="BR9" s="24">
        <f ca="1">SUM(AH$7:AH9)</f>
        <v>0</v>
      </c>
      <c r="BS9" s="46">
        <f ca="1">SUM(AI$7:AI8)</f>
        <v>0</v>
      </c>
      <c r="BT9" s="24">
        <f ca="1">BR9-BS9</f>
        <v>0</v>
      </c>
    </row>
    <row r="10" spans="1:72" s="12" customFormat="1">
      <c r="A10" s="202" t="str">
        <f>Kontenplan!C12</f>
        <v>Aktivkonto</v>
      </c>
      <c r="B10" s="224">
        <f>Kontenplan!E12</f>
        <v>1010</v>
      </c>
      <c r="C10" s="225" t="str">
        <f>Kontenplan!F12</f>
        <v>Postkonto</v>
      </c>
      <c r="D10" s="43">
        <f>IF(B10=0,0,SUMIF(Journal!$F$7:$F$83,Calc!B10,Journal!$I$7:$I$83))</f>
        <v>0</v>
      </c>
      <c r="E10" s="15">
        <f ca="1">IF(B10=0,0,SUMIF(Journal!$G$7:$M84,Calc!B10,Journal!$I$7:$I$83))</f>
        <v>40</v>
      </c>
      <c r="F10" s="44">
        <f ca="1">IF(D10-E10&gt;0,D10-E10,0)</f>
        <v>0</v>
      </c>
      <c r="G10" s="15">
        <f ca="1">IF(E10&gt;D10,E10-D10,0)</f>
        <v>40</v>
      </c>
      <c r="H10" s="14" t="str">
        <f ca="1">IF(AND(OR(A10="Aktivkonto",A10="Passivkonto"),F10&gt;0),F10," ")</f>
        <v xml:space="preserve"> </v>
      </c>
      <c r="I10" s="43">
        <f ca="1">IF(AND(OR(A10="Aktivkonto",A10="Passivkonto"),G10&gt;0),G10," ")</f>
        <v>40</v>
      </c>
      <c r="J10" s="45" t="str">
        <f ca="1">IF(AND(OR(A10="Aufwandskonto",A10="Ertragskonto",A10="Ertragsminderung",A10="a.o.Erfolgskonto"),F10&gt;0),F10," ")</f>
        <v xml:space="preserve"> </v>
      </c>
      <c r="K10" s="48" t="str">
        <f ca="1">IF(AND(OR(A10="Aufwandskonto",A10="Ertragskonto",A10="Ertragsminderung",A10="a.o.Erfolgskonto"),G10&gt;0),G10," ")</f>
        <v xml:space="preserve"> </v>
      </c>
      <c r="L10" s="45" t="str">
        <f t="shared" ca="1" si="0"/>
        <v xml:space="preserve"> </v>
      </c>
      <c r="M10" s="48">
        <f t="shared" ca="1" si="0"/>
        <v>40</v>
      </c>
      <c r="N10" s="24"/>
      <c r="O10" s="12">
        <f t="shared" si="1"/>
        <v>4</v>
      </c>
      <c r="P10" s="12">
        <f t="shared" si="1"/>
        <v>8.0000000000000004E-4</v>
      </c>
      <c r="Q10" s="12">
        <f>IF(OR($A10=Q$5,BC10-BC9=1),ROUND(Q9+1,0),Q9+0.0002)</f>
        <v>8.0000000000000004E-4</v>
      </c>
      <c r="R10" s="12">
        <f>IF(OR(BD10-BD9=1,$A10=R$5),ROUND(R9+1,0),R9+0.0002)</f>
        <v>8.0000000000000004E-4</v>
      </c>
      <c r="S10" s="12">
        <f t="shared" si="2"/>
        <v>1010</v>
      </c>
      <c r="T10" s="12" t="str">
        <f t="shared" si="2"/>
        <v>Postkonto</v>
      </c>
      <c r="U10" s="43">
        <f ca="1">IF(OR(A10=Kontenplan!$C$3,A10=Kontenplan!$C$5),F10-G10,G10-F10)</f>
        <v>-40</v>
      </c>
      <c r="V10" s="171">
        <f t="shared" si="3"/>
        <v>4</v>
      </c>
      <c r="W10" s="12">
        <f t="shared" si="4"/>
        <v>1.0000300000000002</v>
      </c>
      <c r="X10" s="12">
        <f t="shared" si="5"/>
        <v>2.0000200000000001</v>
      </c>
      <c r="Y10" s="12" t="str">
        <f>IF(Z10=0,VLOOKUP(W10,Kontenplan!$Y$9:$AA$551,3),"")</f>
        <v/>
      </c>
      <c r="Z10" s="12">
        <f>VLOOKUP(V10,$Q$7:$S$276,3)</f>
        <v>3040</v>
      </c>
      <c r="AA10" s="12" t="str">
        <f ca="1">IF(AA$4+1=V10,$C$280,IF(AA$4+2=V10,"Total",IF(VLOOKUP(V10,$Q$7:$T$276,4)=0,"",VLOOKUP(V10,$Q$7:$T$276,4))))</f>
        <v>Aufwand 3 nach Verbrauch</v>
      </c>
      <c r="AB10" s="46">
        <f ca="1">IF($H$284=0,0,IF(AA$4+2=V10,"c",IF(AA10="Gewinn",J$280,IF(AA$4+2&lt;V10,"",VLOOKUP(V10,$Q$7:$U$276,5)))))</f>
        <v>0</v>
      </c>
      <c r="AC10" s="46">
        <f ca="1">IF(AA10="Gewinn",AB10,IF(AA10="Total",BN10,IF(AND(Z11=0,Z10&gt;0),BP10,IF(AND(Z10&gt;0,Z11&gt;0),"",IF(Z10&gt;0,0,"")))))</f>
        <v>0</v>
      </c>
      <c r="AD10" s="47"/>
      <c r="AE10" s="12" t="str">
        <f>IF(AF10=0,VLOOKUP(X10,Kontenplan!$Z$9:$AB$551,3),"")</f>
        <v/>
      </c>
      <c r="AF10" s="47">
        <f>VLOOKUP(V10,$R$7:$S$276,2)</f>
        <v>5020</v>
      </c>
      <c r="AG10" s="12" t="str">
        <f ca="1">IF(AA$4+1=V10,$C$280,IF(AA$4+2=V10,"Total",IF(VLOOKUP(V10,$R$7:$T$276,3)=0,"",VLOOKUP(V10,$R$7:$T$276,3))))</f>
        <v>NK-Akkontozhlg: Partei 2</v>
      </c>
      <c r="AH10" s="46">
        <f ca="1">IF($H$284=0,0,IF(AG10="Verlust",K$280,IF(AG10="Total","c",IF(AA$4+2&lt;V10,"",VLOOKUP(V10,$R$7:$U$276,4)))))</f>
        <v>0</v>
      </c>
      <c r="AI10" s="46" t="str">
        <f ca="1">IF(AG10="Verlust",AH10,IF(AG10="Total",BR10,IF(AND(AF11=0,AF10&gt;0),BT10,IF(AND(AF10&gt;0,AF11&gt;0),"",IF(AF10&gt;0,0,"")))))</f>
        <v/>
      </c>
      <c r="AJ10" s="46"/>
      <c r="AK10" s="147">
        <f ca="1">IF(OR(AK9+0.7&gt;AL9,AQ10=""),AK9+0.0001,ROUND(AK9+1,0))</f>
        <v>4.0000000000000002E-4</v>
      </c>
      <c r="AL10" s="147">
        <f>IF(OR(AM10="",AM10=0,AM11&lt;&gt;0),AL9+0.0001,ROUND(AL9+1,0))</f>
        <v>1.0002</v>
      </c>
      <c r="AM10" s="12">
        <f>IF(V10&lt;=AO$3,VLOOKUP(V10,Kontenplan!$A$9:$D$278,4),"")</f>
        <v>0</v>
      </c>
      <c r="AN10" s="12">
        <f>VLOOKUP(V10,$O$7:$S$276,5)</f>
        <v>1010</v>
      </c>
      <c r="AO10" s="12" t="str">
        <f ca="1">IF($AO$4+1=V10,C$280,IF($AO$4+2=V10,"Total",IF(VLOOKUP(V10,$O$7:$T$276,6)=0,"",(VLOOKUP(V10,$O$7:$T$276,6)))))</f>
        <v>Postkonto</v>
      </c>
      <c r="AP10" s="46">
        <f ca="1">IF($H$284=0,0,IF(AO$4+2=V10,"c",IF(AO10="Verlust",H$280,IF(AO$4+2&lt;V10,"",VLOOKUP(V10,$O$7:$U$276,7)))))</f>
        <v>-40</v>
      </c>
      <c r="AQ10" s="46" t="str">
        <f ca="1">IF(AO10="Verlust",AP10,IF(AO10="Total",BF10,IF(AND(AN11=0,AN10&gt;0),BH10,IF(AND(AN10&gt;0,AN11&gt;0),"",IF(AN10&gt;0,0,"")))))</f>
        <v/>
      </c>
      <c r="AR10" s="46"/>
      <c r="AS10" s="147">
        <f ca="1">IF(AW10="Gewinn",ROUND(AS9+1,0),IF(OR(AS9+0.7&gt;AT9,AY10=""),AS9+0.0001,ROUND(AS9+1,0)))</f>
        <v>4.0000000000000002E-4</v>
      </c>
      <c r="AT10" s="147">
        <f>IF(OR(AU10="",AU10=0,AU11&lt;&gt;0),AT9+0.0001,ROUND(AT9+1,0))</f>
        <v>1.0003</v>
      </c>
      <c r="AU10" s="47">
        <f>IF(V10&lt;=AW$3,VLOOKUP(AO$3+V10,Kontenplan!$A$9:$D$278,4),"")</f>
        <v>0</v>
      </c>
      <c r="AV10" s="12">
        <f>VLOOKUP(V10,$P$7:$S$276,4)</f>
        <v>2500</v>
      </c>
      <c r="AW10" s="12" t="str">
        <f ca="1">IF($AO$4+1=V10,C$280,IF($AO$4+2=V10,"Total",IF(VLOOKUP(V10,$P$7:$T$276,5)=0,"",(VLOOKUP(V10,$P$7:$T$276,5)))))</f>
        <v>Darlehen</v>
      </c>
      <c r="AX10" s="46">
        <f t="shared" ca="1" si="6"/>
        <v>0</v>
      </c>
      <c r="AY10" s="46" t="str">
        <f ca="1">IF(AW10="Gewinn",AX10,IF(AW10="Total",BJ10,IF(AND(AV11=0,AV10&gt;0),BL10,IF(AND(AV10&gt;0,AV11&gt;0),"",IF(AV10&gt;0,0,"")))))</f>
        <v/>
      </c>
      <c r="BA10" s="12">
        <f>Kontenplan!R12</f>
        <v>2</v>
      </c>
      <c r="BB10" s="12">
        <f>Kontenplan!S12</f>
        <v>0</v>
      </c>
      <c r="BC10" s="12">
        <f>Kontenplan!T12</f>
        <v>0</v>
      </c>
      <c r="BD10" s="170">
        <f>Kontenplan!U12</f>
        <v>0</v>
      </c>
      <c r="BF10" s="24">
        <f ca="1">SUM(AP$7:AP10)</f>
        <v>0</v>
      </c>
      <c r="BG10" s="46">
        <f ca="1">SUM(AQ$7:AQ9)</f>
        <v>0</v>
      </c>
      <c r="BH10" s="24">
        <f ca="1">BF10-BG10</f>
        <v>0</v>
      </c>
      <c r="BI10" s="24"/>
      <c r="BJ10" s="24">
        <f ca="1">SUM(AX$7:AX10)</f>
        <v>0</v>
      </c>
      <c r="BK10" s="24">
        <f ca="1">SUM(AY$7:AY9)</f>
        <v>0</v>
      </c>
      <c r="BL10" s="24">
        <f ca="1">BJ10-BK10</f>
        <v>0</v>
      </c>
      <c r="BN10" s="24">
        <f ca="1">SUM(AB$7:AB10)</f>
        <v>0</v>
      </c>
      <c r="BO10" s="46">
        <f ca="1">SUM(AC$7:AC9)</f>
        <v>0</v>
      </c>
      <c r="BP10" s="24">
        <f ca="1">BN10-BO10</f>
        <v>0</v>
      </c>
      <c r="BR10" s="24">
        <f ca="1">SUM(AH$7:AH10)</f>
        <v>0</v>
      </c>
      <c r="BS10" s="46">
        <f ca="1">SUM(AI$7:AI9)</f>
        <v>0</v>
      </c>
      <c r="BT10" s="24">
        <f ca="1">BR10-BS10</f>
        <v>0</v>
      </c>
    </row>
    <row r="11" spans="1:72" s="12" customFormat="1">
      <c r="A11" s="202" t="str">
        <f>Kontenplan!C13</f>
        <v>Aktivkonto</v>
      </c>
      <c r="B11" s="224">
        <f>Kontenplan!E13</f>
        <v>1020</v>
      </c>
      <c r="C11" s="225" t="str">
        <f>Kontenplan!F13</f>
        <v>Bankkonto</v>
      </c>
      <c r="D11" s="43">
        <f>IF(B11=0,0,SUMIF(Journal!$F$7:$F$83,Calc!B11,Journal!$I$7:$I$83))</f>
        <v>0</v>
      </c>
      <c r="E11" s="15">
        <f ca="1">IF(B11=0,0,SUMIF(Journal!$G$7:$M85,Calc!B11,Journal!$I$7:$I$83))</f>
        <v>0</v>
      </c>
      <c r="F11" s="44">
        <f t="shared" ref="F11:F74" ca="1" si="7">IF(D11-E11&gt;0,D11-E11,0)</f>
        <v>0</v>
      </c>
      <c r="G11" s="15">
        <f t="shared" ref="G11:G74" ca="1" si="8">IF(E11&gt;D11,E11-D11,0)</f>
        <v>0</v>
      </c>
      <c r="H11" s="14" t="str">
        <f t="shared" ref="H11:H74" ca="1" si="9">IF(AND(OR(A11="Aktivkonto",A11="Passivkonto"),F11&gt;0),F11," ")</f>
        <v xml:space="preserve"> </v>
      </c>
      <c r="I11" s="43" t="str">
        <f t="shared" ref="I11:I74" ca="1" si="10">IF(AND(OR(A11="Aktivkonto",A11="Passivkonto"),G11&gt;0),G11," ")</f>
        <v xml:space="preserve"> </v>
      </c>
      <c r="J11" s="45" t="str">
        <f t="shared" ref="J11:J74" ca="1" si="11">IF(AND(OR(A11="Aufwandskonto",A11="Ertragskonto",A11="Ertragsminderung",A11="a.o.Erfolgskonto"),F11&gt;0),F11," ")</f>
        <v xml:space="preserve"> </v>
      </c>
      <c r="K11" s="48" t="str">
        <f t="shared" ref="K11:K74" ca="1" si="12">IF(AND(OR(A11="Aufwandskonto",A11="Ertragskonto",A11="Ertragsminderung",A11="a.o.Erfolgskonto"),G11&gt;0),G11," ")</f>
        <v xml:space="preserve"> </v>
      </c>
      <c r="L11" s="45" t="str">
        <f t="shared" ref="L11:L74" ca="1" si="13">H11</f>
        <v xml:space="preserve"> </v>
      </c>
      <c r="M11" s="48" t="str">
        <f t="shared" ref="M11:M74" ca="1" si="14">I11</f>
        <v xml:space="preserve"> </v>
      </c>
      <c r="N11" s="24"/>
      <c r="O11" s="12">
        <f t="shared" ref="O11:O74" si="15">IF(OR(BA11-BA10=1,$A11=O$5),ROUND(O10+1,0),O10+0.0002)</f>
        <v>5</v>
      </c>
      <c r="P11" s="12">
        <f t="shared" ref="P11:P74" si="16">IF(OR(BB11-BB10=1,$A11=P$5),ROUND(P10+1,0),P10+0.0002)</f>
        <v>1E-3</v>
      </c>
      <c r="Q11" s="12">
        <f t="shared" ref="Q11:Q74" si="17">IF(OR($A11=Q$5,BC11-BC10=1),ROUND(Q10+1,0),Q10+0.0002)</f>
        <v>1E-3</v>
      </c>
      <c r="R11" s="12">
        <f t="shared" ref="R11:R74" si="18">IF(OR(BD11-BD10=1,$A11=R$5),ROUND(R10+1,0),R10+0.0002)</f>
        <v>1E-3</v>
      </c>
      <c r="S11" s="12">
        <f t="shared" ref="S11:S74" si="19">B11</f>
        <v>1020</v>
      </c>
      <c r="T11" s="12" t="str">
        <f t="shared" ref="T11:T74" si="20">C11</f>
        <v>Bankkonto</v>
      </c>
      <c r="U11" s="43">
        <f ca="1">IF(OR(A11=Kontenplan!$C$3,A11=Kontenplan!$C$5),F11-G11,G11-F11)</f>
        <v>0</v>
      </c>
      <c r="V11" s="171">
        <f t="shared" si="3"/>
        <v>5</v>
      </c>
      <c r="W11" s="12">
        <f t="shared" si="4"/>
        <v>2</v>
      </c>
      <c r="X11" s="12">
        <f t="shared" si="5"/>
        <v>2.0000300000000002</v>
      </c>
      <c r="Y11" s="12" t="str">
        <f>IF(Z11=0,VLOOKUP(W11,Kontenplan!$Y$9:$AA$551,3),"")</f>
        <v>Energie + Wasser nach Wertquoten</v>
      </c>
      <c r="Z11" s="12">
        <f t="shared" ref="Z11:Z74" si="21">VLOOKUP(V11,$Q$7:$S$276,3)</f>
        <v>0</v>
      </c>
      <c r="AA11" s="12" t="str">
        <f t="shared" ref="AA11:AA74" ca="1" si="22">IF(AA$4+1=V11,$C$280,IF(AA$4+2=V11,"Total",IF(VLOOKUP(V11,$Q$7:$T$276,4)=0,"",VLOOKUP(V11,$Q$7:$T$276,4))))</f>
        <v/>
      </c>
      <c r="AB11" s="46">
        <f t="shared" ref="AB11:AB74" ca="1" si="23">IF($H$284=0,0,IF(AA$4+2=V11,"c",IF(AA11="Gewinn",J$280,IF(AA$4+2&lt;V11,"",VLOOKUP(V11,$Q$7:$U$276,5)))))</f>
        <v>0</v>
      </c>
      <c r="AC11" s="46" t="str">
        <f t="shared" ref="AC11:AC74" ca="1" si="24">IF(AA11="Gewinn",AB11,IF(AA11="Total",BN11,IF(AND(Z12=0,Z11&gt;0),BP11,IF(AND(Z11&gt;0,Z12&gt;0),"",IF(Z11&gt;0,0,"")))))</f>
        <v/>
      </c>
      <c r="AD11" s="47"/>
      <c r="AE11" s="12" t="str">
        <f>IF(AF11=0,VLOOKUP(X11,Kontenplan!$Z$9:$AB$551,3),"")</f>
        <v/>
      </c>
      <c r="AF11" s="47">
        <f t="shared" ref="AF11:AF74" si="25">VLOOKUP(V11,$R$7:$S$276,2)</f>
        <v>5030</v>
      </c>
      <c r="AG11" s="12" t="str">
        <f t="shared" ref="AG11:AG74" ca="1" si="26">IF(AA$4+1=V11,$C$280,IF(AA$4+2=V11,"Total",IF(VLOOKUP(V11,$R$7:$T$276,3)=0,"",VLOOKUP(V11,$R$7:$T$276,3))))</f>
        <v>NK-Akkontozhlg: Partei 3</v>
      </c>
      <c r="AH11" s="46">
        <f t="shared" ref="AH11:AH74" ca="1" si="27">IF($H$284=0,0,IF(AG11="Verlust",K$280,IF(AG11="Total","c",IF(AA$4+2&lt;V11,"",VLOOKUP(V11,$R$7:$U$276,4)))))</f>
        <v>0</v>
      </c>
      <c r="AI11" s="46" t="str">
        <f t="shared" ref="AI11:AI74" ca="1" si="28">IF(AG11="Verlust",AH11,IF(AG11="Total",BR11,IF(AND(AF12=0,AF11&gt;0),BT11,IF(AND(AF11&gt;0,AF12&gt;0),"",IF(AF11&gt;0,0,"")))))</f>
        <v/>
      </c>
      <c r="AJ11" s="46"/>
      <c r="AK11" s="147">
        <f t="shared" ref="AK11:AK74" ca="1" si="29">IF(OR(AK10+0.7&gt;AL10,AQ11=""),AK10+0.0001,ROUND(AK10+1,0))</f>
        <v>5.0000000000000001E-4</v>
      </c>
      <c r="AL11" s="147">
        <f t="shared" ref="AL11:AL74" si="30">IF(OR(AM11="",AM11=0,AM12&lt;&gt;0),AL10+0.0001,ROUND(AL10+1,0))</f>
        <v>1.0003</v>
      </c>
      <c r="AM11" s="12">
        <f>IF(V11&lt;=AO$3,VLOOKUP(V11,Kontenplan!$A$9:$D$278,4),"")</f>
        <v>0</v>
      </c>
      <c r="AN11" s="12">
        <f t="shared" ref="AN11:AN74" si="31">VLOOKUP(V11,$O$7:$S$276,5)</f>
        <v>1020</v>
      </c>
      <c r="AO11" s="12" t="str">
        <f t="shared" ref="AO11:AO74" ca="1" si="32">IF($AO$4+1=V11,C$280,IF($AO$4+2=V11,"Total",IF(VLOOKUP(V11,$O$7:$T$276,6)=0,"",(VLOOKUP(V11,$O$7:$T$276,6)))))</f>
        <v>Bankkonto</v>
      </c>
      <c r="AP11" s="46">
        <f t="shared" ref="AP11:AP74" ca="1" si="33">IF($H$284=0,0,IF(AO$4+2=V11,"c",IF(AO11="Verlust",H$280,IF(AO$4+2&lt;V11,"",VLOOKUP(V11,$O$7:$U$276,7)))))</f>
        <v>0</v>
      </c>
      <c r="AQ11" s="46" t="str">
        <f t="shared" ref="AQ11:AQ74" ca="1" si="34">IF(AO11="Verlust",AP11,IF(AO11="Total",BF11,IF(AND(AN12=0,AN11&gt;0),BH11,IF(AND(AN11&gt;0,AN12&gt;0),"",IF(AN11&gt;0,0,"")))))</f>
        <v/>
      </c>
      <c r="AR11" s="46"/>
      <c r="AS11" s="147">
        <f t="shared" ref="AS11:AS74" ca="1" si="35">IF(AW11="Gewinn",ROUND(AS10+1,0),IF(OR(AS10+0.7&gt;AT10,AY11=""),AS10+0.0001,ROUND(AS10+1,0)))</f>
        <v>1</v>
      </c>
      <c r="AT11" s="147">
        <f t="shared" ref="AT11:AT74" si="36">IF(OR(AU11="",AU11=0,AU12&lt;&gt;0),AT10+0.0001,ROUND(AT10+1,0))</f>
        <v>1.0004</v>
      </c>
      <c r="AU11" s="47">
        <f>IF(V11&lt;=AW$3,VLOOKUP(AO$3+V11,Kontenplan!$A$9:$D$278,4),"")</f>
        <v>0</v>
      </c>
      <c r="AV11" s="12">
        <f t="shared" ref="AV11:AV74" si="37">VLOOKUP(V11,$P$7:$S$276,4)</f>
        <v>2600</v>
      </c>
      <c r="AW11" s="12" t="str">
        <f t="shared" ref="AW11:AW74" ca="1" si="38">IF($AO$4+1=V11,C$280,IF($AO$4+2=V11,"Total",IF(VLOOKUP(V11,$P$7:$T$276,5)=0,"",(VLOOKUP(V11,$P$7:$T$276,5)))))</f>
        <v>Rückstellungen Erneuerungsfonds</v>
      </c>
      <c r="AX11" s="46">
        <f t="shared" ca="1" si="6"/>
        <v>0</v>
      </c>
      <c r="AY11" s="46">
        <f t="shared" ref="AY11:AY74" ca="1" si="39">IF(AW11="Gewinn",AX11,IF(AW11="Total",BJ11,IF(AND(AV12=0,AV11&gt;0),BL11,IF(AND(AV11&gt;0,AV12&gt;0),"",IF(AV11&gt;0,0,"")))))</f>
        <v>0</v>
      </c>
      <c r="BA11" s="12">
        <f>Kontenplan!R13</f>
        <v>2</v>
      </c>
      <c r="BB11" s="12">
        <f>Kontenplan!S13</f>
        <v>0</v>
      </c>
      <c r="BC11" s="12">
        <f>Kontenplan!T13</f>
        <v>0</v>
      </c>
      <c r="BD11" s="170">
        <f>Kontenplan!U13</f>
        <v>0</v>
      </c>
      <c r="BF11" s="24">
        <f ca="1">SUM(AP$7:AP11)</f>
        <v>0</v>
      </c>
      <c r="BG11" s="46">
        <f ca="1">SUM(AQ$7:AQ10)</f>
        <v>0</v>
      </c>
      <c r="BH11" s="24">
        <f t="shared" ref="BH11:BH74" ca="1" si="40">BF11-BG11</f>
        <v>0</v>
      </c>
      <c r="BI11" s="24"/>
      <c r="BJ11" s="24">
        <f ca="1">SUM(AX$7:AX11)</f>
        <v>0</v>
      </c>
      <c r="BK11" s="24">
        <f ca="1">SUM(AY$7:AY10)</f>
        <v>0</v>
      </c>
      <c r="BL11" s="24">
        <f t="shared" ref="BL11:BL74" ca="1" si="41">BJ11-BK11</f>
        <v>0</v>
      </c>
      <c r="BN11" s="24">
        <f ca="1">SUM(AB$7:AB11)</f>
        <v>0</v>
      </c>
      <c r="BO11" s="46">
        <f ca="1">SUM(AC$7:AC10)</f>
        <v>0</v>
      </c>
      <c r="BP11" s="24">
        <f t="shared" ref="BP11:BP74" ca="1" si="42">BN11-BO11</f>
        <v>0</v>
      </c>
      <c r="BR11" s="24">
        <f ca="1">SUM(AH$7:AH11)</f>
        <v>0</v>
      </c>
      <c r="BS11" s="46">
        <f ca="1">SUM(AI$7:AI10)</f>
        <v>0</v>
      </c>
      <c r="BT11" s="24">
        <f t="shared" ref="BT11:BT74" ca="1" si="43">BR11-BS11</f>
        <v>0</v>
      </c>
    </row>
    <row r="12" spans="1:72" s="12" customFormat="1">
      <c r="A12" s="202" t="str">
        <f>Kontenplan!C14</f>
        <v>Aktivkonto</v>
      </c>
      <c r="B12" s="224">
        <f>Kontenplan!E14</f>
        <v>1030</v>
      </c>
      <c r="C12" s="225" t="str">
        <f>Kontenplan!F14</f>
        <v>(Spar-)Konto Erneuerungsfonds</v>
      </c>
      <c r="D12" s="43">
        <f>IF(B12=0,0,SUMIF(Journal!$F$7:$F$83,Calc!B12,Journal!$I$7:$I$83))</f>
        <v>0</v>
      </c>
      <c r="E12" s="15">
        <f ca="1">IF(B12=0,0,SUMIF(Journal!$G$7:$M86,Calc!B12,Journal!$I$7:$I$83))</f>
        <v>0</v>
      </c>
      <c r="F12" s="44">
        <f t="shared" ca="1" si="7"/>
        <v>0</v>
      </c>
      <c r="G12" s="15">
        <f t="shared" ca="1" si="8"/>
        <v>0</v>
      </c>
      <c r="H12" s="14" t="str">
        <f t="shared" ca="1" si="9"/>
        <v xml:space="preserve"> </v>
      </c>
      <c r="I12" s="43" t="str">
        <f t="shared" ca="1" si="10"/>
        <v xml:space="preserve"> </v>
      </c>
      <c r="J12" s="45" t="str">
        <f t="shared" ca="1" si="11"/>
        <v xml:space="preserve"> </v>
      </c>
      <c r="K12" s="48" t="str">
        <f t="shared" ca="1" si="12"/>
        <v xml:space="preserve"> </v>
      </c>
      <c r="L12" s="45" t="str">
        <f t="shared" ca="1" si="13"/>
        <v xml:space="preserve"> </v>
      </c>
      <c r="M12" s="48" t="str">
        <f t="shared" ca="1" si="14"/>
        <v xml:space="preserve"> </v>
      </c>
      <c r="N12" s="24"/>
      <c r="O12" s="12">
        <f t="shared" si="15"/>
        <v>6</v>
      </c>
      <c r="P12" s="12">
        <f t="shared" si="16"/>
        <v>1.2000000000000001E-3</v>
      </c>
      <c r="Q12" s="12">
        <f t="shared" si="17"/>
        <v>1.2000000000000001E-3</v>
      </c>
      <c r="R12" s="12">
        <f t="shared" si="18"/>
        <v>1.2000000000000001E-3</v>
      </c>
      <c r="S12" s="12">
        <f t="shared" si="19"/>
        <v>1030</v>
      </c>
      <c r="T12" s="12" t="str">
        <f t="shared" si="20"/>
        <v>(Spar-)Konto Erneuerungsfonds</v>
      </c>
      <c r="U12" s="43">
        <f ca="1">IF(OR(A12=Kontenplan!$C$3,A12=Kontenplan!$C$5),F12-G12,G12-F12)</f>
        <v>0</v>
      </c>
      <c r="V12" s="171">
        <f t="shared" si="3"/>
        <v>6</v>
      </c>
      <c r="W12" s="12">
        <f t="shared" si="4"/>
        <v>2.0000100000000001</v>
      </c>
      <c r="X12" s="12">
        <f t="shared" si="5"/>
        <v>2.0000400000000003</v>
      </c>
      <c r="Y12" s="12" t="str">
        <f>IF(Z12=0,VLOOKUP(W12,Kontenplan!$Y$9:$AA$551,3),"")</f>
        <v/>
      </c>
      <c r="Z12" s="12">
        <f t="shared" si="21"/>
        <v>3100</v>
      </c>
      <c r="AA12" s="12" t="str">
        <f t="shared" ca="1" si="22"/>
        <v>Strom</v>
      </c>
      <c r="AB12" s="46">
        <f t="shared" ca="1" si="23"/>
        <v>0</v>
      </c>
      <c r="AC12" s="46" t="str">
        <f t="shared" ca="1" si="24"/>
        <v/>
      </c>
      <c r="AD12" s="47"/>
      <c r="AE12" s="12" t="str">
        <f>IF(AF12=0,VLOOKUP(X12,Kontenplan!$Z$9:$AB$551,3),"")</f>
        <v/>
      </c>
      <c r="AF12" s="47">
        <f t="shared" si="25"/>
        <v>5040</v>
      </c>
      <c r="AG12" s="12" t="str">
        <f t="shared" ca="1" si="26"/>
        <v>NK-Akkontozhlg: Partei 4</v>
      </c>
      <c r="AH12" s="46">
        <f t="shared" ca="1" si="27"/>
        <v>0</v>
      </c>
      <c r="AI12" s="46" t="str">
        <f t="shared" ca="1" si="28"/>
        <v/>
      </c>
      <c r="AJ12" s="46"/>
      <c r="AK12" s="147">
        <f t="shared" ca="1" si="29"/>
        <v>1</v>
      </c>
      <c r="AL12" s="147">
        <f t="shared" si="30"/>
        <v>1.0004</v>
      </c>
      <c r="AM12" s="12">
        <f>IF(V12&lt;=AO$3,VLOOKUP(V12,Kontenplan!$A$9:$D$278,4),"")</f>
        <v>0</v>
      </c>
      <c r="AN12" s="12">
        <f t="shared" si="31"/>
        <v>1030</v>
      </c>
      <c r="AO12" s="12" t="str">
        <f t="shared" ca="1" si="32"/>
        <v>(Spar-)Konto Erneuerungsfonds</v>
      </c>
      <c r="AP12" s="46">
        <f t="shared" ca="1" si="33"/>
        <v>0</v>
      </c>
      <c r="AQ12" s="46">
        <f t="shared" ca="1" si="34"/>
        <v>0</v>
      </c>
      <c r="AR12" s="46"/>
      <c r="AS12" s="147">
        <f t="shared" ca="1" si="35"/>
        <v>1.0001</v>
      </c>
      <c r="AT12" s="147">
        <f t="shared" si="36"/>
        <v>2</v>
      </c>
      <c r="AU12" s="47" t="str">
        <f>IF(V12&lt;=AW$3,VLOOKUP(AO$3+V12,Kontenplan!$A$9:$D$278,4),"")</f>
        <v>Eigenkapital</v>
      </c>
      <c r="AV12" s="12">
        <f t="shared" si="37"/>
        <v>0</v>
      </c>
      <c r="AW12" s="12" t="str">
        <f t="shared" ca="1" si="38"/>
        <v/>
      </c>
      <c r="AX12" s="46">
        <f t="shared" ca="1" si="6"/>
        <v>0</v>
      </c>
      <c r="AY12" s="46" t="str">
        <f t="shared" ca="1" si="39"/>
        <v/>
      </c>
      <c r="BA12" s="12">
        <f>Kontenplan!R14</f>
        <v>2</v>
      </c>
      <c r="BB12" s="12">
        <f>Kontenplan!S14</f>
        <v>0</v>
      </c>
      <c r="BC12" s="12">
        <f>Kontenplan!T14</f>
        <v>0</v>
      </c>
      <c r="BD12" s="170">
        <f>Kontenplan!U14</f>
        <v>0</v>
      </c>
      <c r="BF12" s="24">
        <f ca="1">SUM(AP$7:AP12)</f>
        <v>0</v>
      </c>
      <c r="BG12" s="46">
        <f ca="1">SUM(AQ$7:AQ11)</f>
        <v>0</v>
      </c>
      <c r="BH12" s="24">
        <f t="shared" ca="1" si="40"/>
        <v>0</v>
      </c>
      <c r="BI12" s="24"/>
      <c r="BJ12" s="24">
        <f ca="1">SUM(AX$7:AX12)</f>
        <v>0</v>
      </c>
      <c r="BK12" s="24">
        <f ca="1">SUM(AY$7:AY11)</f>
        <v>0</v>
      </c>
      <c r="BL12" s="24">
        <f t="shared" ca="1" si="41"/>
        <v>0</v>
      </c>
      <c r="BN12" s="24">
        <f ca="1">SUM(AB$7:AB12)</f>
        <v>0</v>
      </c>
      <c r="BO12" s="46">
        <f ca="1">SUM(AC$7:AC11)</f>
        <v>0</v>
      </c>
      <c r="BP12" s="24">
        <f t="shared" ca="1" si="42"/>
        <v>0</v>
      </c>
      <c r="BR12" s="24">
        <f ca="1">SUM(AH$7:AH12)</f>
        <v>0</v>
      </c>
      <c r="BS12" s="46">
        <f ca="1">SUM(AI$7:AI11)</f>
        <v>0</v>
      </c>
      <c r="BT12" s="24">
        <f t="shared" ca="1" si="43"/>
        <v>0</v>
      </c>
    </row>
    <row r="13" spans="1:72" s="12" customFormat="1">
      <c r="A13" s="202">
        <f>Kontenplan!C15</f>
        <v>0</v>
      </c>
      <c r="B13" s="224">
        <f>Kontenplan!E15</f>
        <v>0</v>
      </c>
      <c r="C13" s="225">
        <f>Kontenplan!F15</f>
        <v>0</v>
      </c>
      <c r="D13" s="43">
        <f>IF(B13=0,0,SUMIF(Journal!$F$7:$F$83,Calc!B13,Journal!$I$7:$I$83))</f>
        <v>0</v>
      </c>
      <c r="E13" s="15">
        <f>IF(B13=0,0,SUMIF(Journal!$G$7:$M87,Calc!B13,Journal!$I$7:$I$83))</f>
        <v>0</v>
      </c>
      <c r="F13" s="44">
        <f t="shared" si="7"/>
        <v>0</v>
      </c>
      <c r="G13" s="15">
        <f t="shared" si="8"/>
        <v>0</v>
      </c>
      <c r="H13" s="14" t="str">
        <f t="shared" si="9"/>
        <v xml:space="preserve"> </v>
      </c>
      <c r="I13" s="43" t="str">
        <f t="shared" si="10"/>
        <v xml:space="preserve"> </v>
      </c>
      <c r="J13" s="45" t="str">
        <f t="shared" si="11"/>
        <v xml:space="preserve"> </v>
      </c>
      <c r="K13" s="48" t="str">
        <f t="shared" si="12"/>
        <v xml:space="preserve"> </v>
      </c>
      <c r="L13" s="45" t="str">
        <f t="shared" si="13"/>
        <v xml:space="preserve"> </v>
      </c>
      <c r="M13" s="48" t="str">
        <f t="shared" si="14"/>
        <v xml:space="preserve"> </v>
      </c>
      <c r="N13" s="24"/>
      <c r="O13" s="12">
        <f t="shared" si="15"/>
        <v>7</v>
      </c>
      <c r="P13" s="12">
        <f t="shared" si="16"/>
        <v>1.4000000000000002E-3</v>
      </c>
      <c r="Q13" s="12">
        <f t="shared" si="17"/>
        <v>1.4000000000000002E-3</v>
      </c>
      <c r="R13" s="12">
        <f t="shared" si="18"/>
        <v>1.4000000000000002E-3</v>
      </c>
      <c r="S13" s="12">
        <f t="shared" si="19"/>
        <v>0</v>
      </c>
      <c r="T13" s="12">
        <f t="shared" si="20"/>
        <v>0</v>
      </c>
      <c r="U13" s="43">
        <f>IF(OR(A13=Kontenplan!$C$3,A13=Kontenplan!$C$5),F13-G13,G13-F13)</f>
        <v>0</v>
      </c>
      <c r="V13" s="171">
        <f t="shared" si="3"/>
        <v>7</v>
      </c>
      <c r="W13" s="12">
        <f t="shared" si="4"/>
        <v>2.0000200000000001</v>
      </c>
      <c r="X13" s="12">
        <f t="shared" si="5"/>
        <v>2.0000500000000003</v>
      </c>
      <c r="Y13" s="12" t="str">
        <f>IF(Z13=0,VLOOKUP(W13,Kontenplan!$Y$9:$AA$551,3),"")</f>
        <v/>
      </c>
      <c r="Z13" s="12">
        <f t="shared" si="21"/>
        <v>3200</v>
      </c>
      <c r="AA13" s="12" t="str">
        <f t="shared" ca="1" si="22"/>
        <v>Wasser</v>
      </c>
      <c r="AB13" s="46">
        <f t="shared" ca="1" si="23"/>
        <v>0</v>
      </c>
      <c r="AC13" s="46" t="str">
        <f t="shared" ca="1" si="24"/>
        <v/>
      </c>
      <c r="AD13" s="47"/>
      <c r="AE13" s="12" t="str">
        <f>IF(AF13=0,VLOOKUP(X13,Kontenplan!$Z$9:$AB$551,3),"")</f>
        <v/>
      </c>
      <c r="AF13" s="47">
        <f t="shared" si="25"/>
        <v>5050</v>
      </c>
      <c r="AG13" s="12" t="str">
        <f t="shared" ca="1" si="26"/>
        <v>NK-Akkontozhlg: Partei 5</v>
      </c>
      <c r="AH13" s="46">
        <f t="shared" ca="1" si="27"/>
        <v>0</v>
      </c>
      <c r="AI13" s="46" t="str">
        <f t="shared" ca="1" si="28"/>
        <v/>
      </c>
      <c r="AJ13" s="46"/>
      <c r="AK13" s="147">
        <f t="shared" ca="1" si="29"/>
        <v>1.0001</v>
      </c>
      <c r="AL13" s="147">
        <f t="shared" si="30"/>
        <v>2</v>
      </c>
      <c r="AM13" s="12" t="str">
        <f>IF(V13&lt;=AO$3,VLOOKUP(V13,Kontenplan!$A$9:$D$278,4),"")</f>
        <v>Forderungen</v>
      </c>
      <c r="AN13" s="12">
        <f t="shared" si="31"/>
        <v>0</v>
      </c>
      <c r="AO13" s="12" t="str">
        <f t="shared" ca="1" si="32"/>
        <v/>
      </c>
      <c r="AP13" s="46">
        <f t="shared" ca="1" si="33"/>
        <v>0</v>
      </c>
      <c r="AQ13" s="46" t="str">
        <f t="shared" ca="1" si="34"/>
        <v/>
      </c>
      <c r="AR13" s="46"/>
      <c r="AS13" s="147">
        <f t="shared" ca="1" si="35"/>
        <v>1.0002</v>
      </c>
      <c r="AT13" s="147">
        <f t="shared" si="36"/>
        <v>2.0001000000000002</v>
      </c>
      <c r="AU13" s="47">
        <f>IF(V13&lt;=AW$3,VLOOKUP(AO$3+V13,Kontenplan!$A$9:$D$278,4),"")</f>
        <v>0</v>
      </c>
      <c r="AV13" s="12">
        <f t="shared" si="37"/>
        <v>2800</v>
      </c>
      <c r="AW13" s="12" t="str">
        <f t="shared" ca="1" si="38"/>
        <v>Kumulierte Gewinne/Kapital</v>
      </c>
      <c r="AX13" s="46">
        <f t="shared" ca="1" si="6"/>
        <v>0</v>
      </c>
      <c r="AY13" s="46" t="str">
        <f t="shared" ca="1" si="39"/>
        <v/>
      </c>
      <c r="BA13" s="12">
        <f>Kontenplan!R15</f>
        <v>3</v>
      </c>
      <c r="BB13" s="12">
        <f>Kontenplan!S15</f>
        <v>0</v>
      </c>
      <c r="BC13" s="12">
        <f>Kontenplan!T15</f>
        <v>0</v>
      </c>
      <c r="BD13" s="170">
        <f>Kontenplan!U15</f>
        <v>0</v>
      </c>
      <c r="BF13" s="24">
        <f ca="1">SUM(AP$7:AP13)</f>
        <v>0</v>
      </c>
      <c r="BG13" s="46">
        <f ca="1">SUM(AQ$7:AQ12)</f>
        <v>0</v>
      </c>
      <c r="BH13" s="24">
        <f t="shared" ca="1" si="40"/>
        <v>0</v>
      </c>
      <c r="BI13" s="24"/>
      <c r="BJ13" s="24">
        <f ca="1">SUM(AX$7:AX13)</f>
        <v>0</v>
      </c>
      <c r="BK13" s="24">
        <f ca="1">SUM(AY$7:AY12)</f>
        <v>0</v>
      </c>
      <c r="BL13" s="24">
        <f t="shared" ca="1" si="41"/>
        <v>0</v>
      </c>
      <c r="BN13" s="24">
        <f ca="1">SUM(AB$7:AB13)</f>
        <v>0</v>
      </c>
      <c r="BO13" s="46">
        <f ca="1">SUM(AC$7:AC12)</f>
        <v>0</v>
      </c>
      <c r="BP13" s="24">
        <f t="shared" ca="1" si="42"/>
        <v>0</v>
      </c>
      <c r="BR13" s="24">
        <f ca="1">SUM(AH$7:AH13)</f>
        <v>0</v>
      </c>
      <c r="BS13" s="46">
        <f ca="1">SUM(AI$7:AI12)</f>
        <v>0</v>
      </c>
      <c r="BT13" s="24">
        <f t="shared" ca="1" si="43"/>
        <v>0</v>
      </c>
    </row>
    <row r="14" spans="1:72" s="12" customFormat="1">
      <c r="A14" s="202" t="str">
        <f>Kontenplan!C16</f>
        <v>Aktivkonto</v>
      </c>
      <c r="B14" s="224">
        <f>Kontenplan!E16</f>
        <v>1100</v>
      </c>
      <c r="C14" s="225" t="str">
        <f>Kontenplan!F16</f>
        <v>Debitoren allgemein</v>
      </c>
      <c r="D14" s="43">
        <f>IF(B14=0,0,SUMIF(Journal!$F$7:$F$83,Calc!B14,Journal!$I$7:$I$83))</f>
        <v>0</v>
      </c>
      <c r="E14" s="15">
        <f ca="1">IF(B14=0,0,SUMIF(Journal!$G$7:$M88,Calc!B14,Journal!$I$7:$I$83))</f>
        <v>0</v>
      </c>
      <c r="F14" s="44">
        <f t="shared" ca="1" si="7"/>
        <v>0</v>
      </c>
      <c r="G14" s="15">
        <f t="shared" ca="1" si="8"/>
        <v>0</v>
      </c>
      <c r="H14" s="14" t="str">
        <f t="shared" ca="1" si="9"/>
        <v xml:space="preserve"> </v>
      </c>
      <c r="I14" s="43" t="str">
        <f t="shared" ca="1" si="10"/>
        <v xml:space="preserve"> </v>
      </c>
      <c r="J14" s="45" t="str">
        <f t="shared" ca="1" si="11"/>
        <v xml:space="preserve"> </v>
      </c>
      <c r="K14" s="48" t="str">
        <f t="shared" ca="1" si="12"/>
        <v xml:space="preserve"> </v>
      </c>
      <c r="L14" s="45" t="str">
        <f t="shared" ca="1" si="13"/>
        <v xml:space="preserve"> </v>
      </c>
      <c r="M14" s="48" t="str">
        <f t="shared" ca="1" si="14"/>
        <v xml:space="preserve"> </v>
      </c>
      <c r="N14" s="24"/>
      <c r="O14" s="12">
        <f t="shared" si="15"/>
        <v>8</v>
      </c>
      <c r="P14" s="12">
        <f t="shared" si="16"/>
        <v>1.6000000000000003E-3</v>
      </c>
      <c r="Q14" s="12">
        <f t="shared" si="17"/>
        <v>1.6000000000000003E-3</v>
      </c>
      <c r="R14" s="12">
        <f t="shared" si="18"/>
        <v>1.6000000000000003E-3</v>
      </c>
      <c r="S14" s="12">
        <f t="shared" si="19"/>
        <v>1100</v>
      </c>
      <c r="T14" s="12" t="str">
        <f t="shared" si="20"/>
        <v>Debitoren allgemein</v>
      </c>
      <c r="U14" s="43">
        <f ca="1">IF(OR(A14=Kontenplan!$C$3,A14=Kontenplan!$C$5),F14-G14,G14-F14)</f>
        <v>0</v>
      </c>
      <c r="V14" s="171">
        <f t="shared" si="3"/>
        <v>8</v>
      </c>
      <c r="W14" s="12">
        <f t="shared" si="4"/>
        <v>2.0000300000000002</v>
      </c>
      <c r="X14" s="12">
        <f t="shared" si="5"/>
        <v>2.0000600000000004</v>
      </c>
      <c r="Y14" s="12" t="str">
        <f>IF(Z14=0,VLOOKUP(W14,Kontenplan!$Y$9:$AA$551,3),"")</f>
        <v/>
      </c>
      <c r="Z14" s="12">
        <f t="shared" si="21"/>
        <v>3300</v>
      </c>
      <c r="AA14" s="12" t="str">
        <f t="shared" ca="1" si="22"/>
        <v>ARA</v>
      </c>
      <c r="AB14" s="46">
        <f t="shared" ca="1" si="23"/>
        <v>0</v>
      </c>
      <c r="AC14" s="46">
        <f t="shared" ca="1" si="24"/>
        <v>0</v>
      </c>
      <c r="AD14" s="47"/>
      <c r="AE14" s="12" t="str">
        <f>IF(AF14=0,VLOOKUP(X14,Kontenplan!$Z$9:$AB$551,3),"")</f>
        <v/>
      </c>
      <c r="AF14" s="47">
        <f t="shared" si="25"/>
        <v>5060</v>
      </c>
      <c r="AG14" s="12" t="str">
        <f t="shared" ca="1" si="26"/>
        <v>NK-Akkontozhlg: Partei 6</v>
      </c>
      <c r="AH14" s="46">
        <f t="shared" ca="1" si="27"/>
        <v>0</v>
      </c>
      <c r="AI14" s="46" t="str">
        <f t="shared" ca="1" si="28"/>
        <v/>
      </c>
      <c r="AJ14" s="46"/>
      <c r="AK14" s="147">
        <f t="shared" ca="1" si="29"/>
        <v>1.0002</v>
      </c>
      <c r="AL14" s="147">
        <f t="shared" si="30"/>
        <v>2.0001000000000002</v>
      </c>
      <c r="AM14" s="12">
        <f>IF(V14&lt;=AO$3,VLOOKUP(V14,Kontenplan!$A$9:$D$278,4),"")</f>
        <v>0</v>
      </c>
      <c r="AN14" s="12">
        <f t="shared" si="31"/>
        <v>1100</v>
      </c>
      <c r="AO14" s="12" t="str">
        <f t="shared" ca="1" si="32"/>
        <v>Debitoren allgemein</v>
      </c>
      <c r="AP14" s="46">
        <f t="shared" ca="1" si="33"/>
        <v>0</v>
      </c>
      <c r="AQ14" s="46" t="str">
        <f t="shared" ca="1" si="34"/>
        <v/>
      </c>
      <c r="AR14" s="46"/>
      <c r="AS14" s="147">
        <f t="shared" ca="1" si="35"/>
        <v>1.0003</v>
      </c>
      <c r="AT14" s="147">
        <f t="shared" si="36"/>
        <v>2.0002000000000004</v>
      </c>
      <c r="AU14" s="47">
        <f>IF(V14&lt;=AW$3,VLOOKUP(AO$3+V14,Kontenplan!$A$9:$D$278,4),"")</f>
        <v>0</v>
      </c>
      <c r="AV14" s="12">
        <f t="shared" si="37"/>
        <v>2900</v>
      </c>
      <c r="AW14" s="12" t="str">
        <f t="shared" ca="1" si="38"/>
        <v>Reserven</v>
      </c>
      <c r="AX14" s="46">
        <f t="shared" ca="1" si="6"/>
        <v>0</v>
      </c>
      <c r="AY14" s="46" t="str">
        <f t="shared" ca="1" si="39"/>
        <v/>
      </c>
      <c r="BA14" s="12">
        <f>Kontenplan!R16</f>
        <v>3</v>
      </c>
      <c r="BB14" s="12">
        <f>Kontenplan!S16</f>
        <v>0</v>
      </c>
      <c r="BC14" s="12">
        <f>Kontenplan!T16</f>
        <v>0</v>
      </c>
      <c r="BD14" s="170">
        <f>Kontenplan!U16</f>
        <v>0</v>
      </c>
      <c r="BF14" s="24">
        <f ca="1">SUM(AP$7:AP14)</f>
        <v>0</v>
      </c>
      <c r="BG14" s="46">
        <f ca="1">SUM(AQ$7:AQ13)</f>
        <v>0</v>
      </c>
      <c r="BH14" s="24">
        <f t="shared" ca="1" si="40"/>
        <v>0</v>
      </c>
      <c r="BI14" s="24"/>
      <c r="BJ14" s="24">
        <f ca="1">SUM(AX$7:AX14)</f>
        <v>0</v>
      </c>
      <c r="BK14" s="24">
        <f ca="1">SUM(AY$7:AY13)</f>
        <v>0</v>
      </c>
      <c r="BL14" s="24">
        <f t="shared" ca="1" si="41"/>
        <v>0</v>
      </c>
      <c r="BN14" s="24">
        <f ca="1">SUM(AB$7:AB14)</f>
        <v>0</v>
      </c>
      <c r="BO14" s="46">
        <f ca="1">SUM(AC$7:AC13)</f>
        <v>0</v>
      </c>
      <c r="BP14" s="24">
        <f t="shared" ca="1" si="42"/>
        <v>0</v>
      </c>
      <c r="BR14" s="24">
        <f ca="1">SUM(AH$7:AH14)</f>
        <v>0</v>
      </c>
      <c r="BS14" s="46">
        <f ca="1">SUM(AI$7:AI13)</f>
        <v>0</v>
      </c>
      <c r="BT14" s="24">
        <f t="shared" ca="1" si="43"/>
        <v>0</v>
      </c>
    </row>
    <row r="15" spans="1:72" s="12" customFormat="1">
      <c r="A15" s="202" t="str">
        <f>Kontenplan!C17</f>
        <v>Aktivkonto</v>
      </c>
      <c r="B15" s="224">
        <f>Kontenplan!E17</f>
        <v>1200</v>
      </c>
      <c r="C15" s="225" t="str">
        <f>Kontenplan!F17</f>
        <v>Debitoren Stockwerkeigentümer</v>
      </c>
      <c r="D15" s="43">
        <f>IF(B15=0,0,SUMIF(Journal!$F$7:$F$83,Calc!B15,Journal!$I$7:$I$83))</f>
        <v>0</v>
      </c>
      <c r="E15" s="15">
        <f ca="1">IF(B15=0,0,SUMIF(Journal!$G$7:$M89,Calc!B15,Journal!$I$7:$I$83))</f>
        <v>0</v>
      </c>
      <c r="F15" s="44">
        <f t="shared" ca="1" si="7"/>
        <v>0</v>
      </c>
      <c r="G15" s="15">
        <f t="shared" ca="1" si="8"/>
        <v>0</v>
      </c>
      <c r="H15" s="14" t="str">
        <f t="shared" ca="1" si="9"/>
        <v xml:space="preserve"> </v>
      </c>
      <c r="I15" s="43" t="str">
        <f t="shared" ca="1" si="10"/>
        <v xml:space="preserve"> </v>
      </c>
      <c r="J15" s="45" t="str">
        <f t="shared" ca="1" si="11"/>
        <v xml:space="preserve"> </v>
      </c>
      <c r="K15" s="48" t="str">
        <f t="shared" ca="1" si="12"/>
        <v xml:space="preserve"> </v>
      </c>
      <c r="L15" s="45" t="str">
        <f t="shared" ca="1" si="13"/>
        <v xml:space="preserve"> </v>
      </c>
      <c r="M15" s="48" t="str">
        <f t="shared" ca="1" si="14"/>
        <v xml:space="preserve"> </v>
      </c>
      <c r="N15" s="24"/>
      <c r="O15" s="12">
        <f t="shared" si="15"/>
        <v>9</v>
      </c>
      <c r="P15" s="12">
        <f t="shared" si="16"/>
        <v>1.8000000000000004E-3</v>
      </c>
      <c r="Q15" s="12">
        <f t="shared" si="17"/>
        <v>1.8000000000000004E-3</v>
      </c>
      <c r="R15" s="12">
        <f t="shared" si="18"/>
        <v>1.8000000000000004E-3</v>
      </c>
      <c r="S15" s="12">
        <f t="shared" si="19"/>
        <v>1200</v>
      </c>
      <c r="T15" s="12" t="str">
        <f t="shared" si="20"/>
        <v>Debitoren Stockwerkeigentümer</v>
      </c>
      <c r="U15" s="43">
        <f ca="1">IF(OR(A15=Kontenplan!$C$3,A15=Kontenplan!$C$5),F15-G15,G15-F15)</f>
        <v>0</v>
      </c>
      <c r="V15" s="171">
        <f t="shared" si="3"/>
        <v>9</v>
      </c>
      <c r="W15" s="12">
        <f t="shared" si="4"/>
        <v>3</v>
      </c>
      <c r="X15" s="12">
        <f t="shared" si="5"/>
        <v>2.0000700000000005</v>
      </c>
      <c r="Y15" s="12" t="str">
        <f>IF(Z15=0,VLOOKUP(W15,Kontenplan!$Y$9:$AA$551,3),"")</f>
        <v>weitere NK nach Wertquoten</v>
      </c>
      <c r="Z15" s="12">
        <f t="shared" si="21"/>
        <v>0</v>
      </c>
      <c r="AA15" s="12" t="str">
        <f t="shared" ca="1" si="22"/>
        <v/>
      </c>
      <c r="AB15" s="46">
        <f t="shared" ca="1" si="23"/>
        <v>0</v>
      </c>
      <c r="AC15" s="46" t="str">
        <f t="shared" ca="1" si="24"/>
        <v/>
      </c>
      <c r="AD15" s="47"/>
      <c r="AE15" s="12" t="str">
        <f>IF(AF15=0,VLOOKUP(X15,Kontenplan!$Z$9:$AB$551,3),"")</f>
        <v/>
      </c>
      <c r="AF15" s="47">
        <f t="shared" si="25"/>
        <v>5070</v>
      </c>
      <c r="AG15" s="12" t="str">
        <f t="shared" ca="1" si="26"/>
        <v>NK-Akkontozhlg: Partei 7</v>
      </c>
      <c r="AH15" s="46">
        <f t="shared" ca="1" si="27"/>
        <v>0</v>
      </c>
      <c r="AI15" s="46" t="str">
        <f t="shared" ca="1" si="28"/>
        <v/>
      </c>
      <c r="AJ15" s="46"/>
      <c r="AK15" s="147">
        <f t="shared" ca="1" si="29"/>
        <v>1.0003</v>
      </c>
      <c r="AL15" s="147">
        <f t="shared" si="30"/>
        <v>2.0002000000000004</v>
      </c>
      <c r="AM15" s="12">
        <f>IF(V15&lt;=AO$3,VLOOKUP(V15,Kontenplan!$A$9:$D$278,4),"")</f>
        <v>0</v>
      </c>
      <c r="AN15" s="12">
        <f t="shared" si="31"/>
        <v>1200</v>
      </c>
      <c r="AO15" s="12" t="str">
        <f t="shared" ca="1" si="32"/>
        <v>Debitoren Stockwerkeigentümer</v>
      </c>
      <c r="AP15" s="46">
        <f t="shared" ca="1" si="33"/>
        <v>0</v>
      </c>
      <c r="AQ15" s="46" t="str">
        <f t="shared" ca="1" si="34"/>
        <v/>
      </c>
      <c r="AR15" s="46"/>
      <c r="AS15" s="147">
        <f t="shared" ca="1" si="35"/>
        <v>2</v>
      </c>
      <c r="AT15" s="147">
        <f t="shared" si="36"/>
        <v>2.0003000000000006</v>
      </c>
      <c r="AU15" s="47">
        <f>IF(V15&lt;=AW$3,VLOOKUP(AO$3+V15,Kontenplan!$A$9:$D$278,4),"")</f>
        <v>0</v>
      </c>
      <c r="AV15" s="12">
        <f t="shared" si="37"/>
        <v>2990</v>
      </c>
      <c r="AW15" s="12" t="str">
        <f t="shared" ca="1" si="38"/>
        <v>Gewinnvortrag / Verlustvortrag</v>
      </c>
      <c r="AX15" s="46">
        <f t="shared" ca="1" si="6"/>
        <v>0</v>
      </c>
      <c r="AY15" s="46">
        <f t="shared" ca="1" si="39"/>
        <v>0</v>
      </c>
      <c r="BA15" s="12">
        <f>Kontenplan!R17</f>
        <v>3</v>
      </c>
      <c r="BB15" s="12">
        <f>Kontenplan!S17</f>
        <v>0</v>
      </c>
      <c r="BC15" s="12">
        <f>Kontenplan!T17</f>
        <v>0</v>
      </c>
      <c r="BD15" s="170">
        <f>Kontenplan!U17</f>
        <v>0</v>
      </c>
      <c r="BF15" s="24">
        <f ca="1">SUM(AP$7:AP15)</f>
        <v>0</v>
      </c>
      <c r="BG15" s="46">
        <f ca="1">SUM(AQ$7:AQ14)</f>
        <v>0</v>
      </c>
      <c r="BH15" s="24">
        <f t="shared" ca="1" si="40"/>
        <v>0</v>
      </c>
      <c r="BI15" s="24"/>
      <c r="BJ15" s="24">
        <f ca="1">SUM(AX$7:AX15)</f>
        <v>0</v>
      </c>
      <c r="BK15" s="24">
        <f ca="1">SUM(AY$7:AY14)</f>
        <v>0</v>
      </c>
      <c r="BL15" s="24">
        <f t="shared" ca="1" si="41"/>
        <v>0</v>
      </c>
      <c r="BN15" s="24">
        <f ca="1">SUM(AB$7:AB15)</f>
        <v>0</v>
      </c>
      <c r="BO15" s="46">
        <f ca="1">SUM(AC$7:AC14)</f>
        <v>0</v>
      </c>
      <c r="BP15" s="24">
        <f t="shared" ca="1" si="42"/>
        <v>0</v>
      </c>
      <c r="BR15" s="24">
        <f ca="1">SUM(AH$7:AH15)</f>
        <v>0</v>
      </c>
      <c r="BS15" s="46">
        <f ca="1">SUM(AI$7:AI14)</f>
        <v>0</v>
      </c>
      <c r="BT15" s="24">
        <f t="shared" ca="1" si="43"/>
        <v>0</v>
      </c>
    </row>
    <row r="16" spans="1:72" s="12" customFormat="1">
      <c r="A16" s="202" t="str">
        <f>Kontenplan!C18</f>
        <v>Aktivkonto</v>
      </c>
      <c r="B16" s="224">
        <f>Kontenplan!E18</f>
        <v>1300</v>
      </c>
      <c r="C16" s="225" t="str">
        <f>Kontenplan!F18</f>
        <v>Transitorische Aktiven</v>
      </c>
      <c r="D16" s="43">
        <f>IF(B16=0,0,SUMIF(Journal!$F$7:$F$83,Calc!B16,Journal!$I$7:$I$83))</f>
        <v>0</v>
      </c>
      <c r="E16" s="15">
        <f ca="1">IF(B16=0,0,SUMIF(Journal!$G$7:$M90,Calc!B16,Journal!$I$7:$I$83))</f>
        <v>0</v>
      </c>
      <c r="F16" s="44">
        <f t="shared" ca="1" si="7"/>
        <v>0</v>
      </c>
      <c r="G16" s="15">
        <f t="shared" ca="1" si="8"/>
        <v>0</v>
      </c>
      <c r="H16" s="14" t="str">
        <f t="shared" ca="1" si="9"/>
        <v xml:space="preserve"> </v>
      </c>
      <c r="I16" s="43" t="str">
        <f t="shared" ca="1" si="10"/>
        <v xml:space="preserve"> </v>
      </c>
      <c r="J16" s="45" t="str">
        <f t="shared" ca="1" si="11"/>
        <v xml:space="preserve"> </v>
      </c>
      <c r="K16" s="48" t="str">
        <f t="shared" ca="1" si="12"/>
        <v xml:space="preserve"> </v>
      </c>
      <c r="L16" s="45" t="str">
        <f t="shared" ca="1" si="13"/>
        <v xml:space="preserve"> </v>
      </c>
      <c r="M16" s="48" t="str">
        <f t="shared" ca="1" si="14"/>
        <v xml:space="preserve"> </v>
      </c>
      <c r="N16" s="24"/>
      <c r="O16" s="12">
        <f t="shared" si="15"/>
        <v>10</v>
      </c>
      <c r="P16" s="12">
        <f t="shared" si="16"/>
        <v>2.0000000000000005E-3</v>
      </c>
      <c r="Q16" s="12">
        <f t="shared" si="17"/>
        <v>2.0000000000000005E-3</v>
      </c>
      <c r="R16" s="12">
        <f t="shared" si="18"/>
        <v>2.0000000000000005E-3</v>
      </c>
      <c r="S16" s="12">
        <f t="shared" si="19"/>
        <v>1300</v>
      </c>
      <c r="T16" s="12" t="str">
        <f t="shared" si="20"/>
        <v>Transitorische Aktiven</v>
      </c>
      <c r="U16" s="43">
        <f ca="1">IF(OR(A16=Kontenplan!$C$3,A16=Kontenplan!$C$5),F16-G16,G16-F16)</f>
        <v>0</v>
      </c>
      <c r="V16" s="171">
        <f t="shared" si="3"/>
        <v>10</v>
      </c>
      <c r="W16" s="12">
        <f t="shared" si="4"/>
        <v>3.0000100000000001</v>
      </c>
      <c r="X16" s="12">
        <f t="shared" si="5"/>
        <v>2.0000800000000005</v>
      </c>
      <c r="Y16" s="12" t="str">
        <f>IF(Z16=0,VLOOKUP(W16,Kontenplan!$Y$9:$AA$551,3),"")</f>
        <v/>
      </c>
      <c r="Z16" s="12">
        <f t="shared" si="21"/>
        <v>3400</v>
      </c>
      <c r="AA16" s="12" t="str">
        <f t="shared" ca="1" si="22"/>
        <v>Honorar Verwaltung</v>
      </c>
      <c r="AB16" s="46">
        <f t="shared" ca="1" si="23"/>
        <v>0</v>
      </c>
      <c r="AC16" s="46" t="str">
        <f t="shared" ca="1" si="24"/>
        <v/>
      </c>
      <c r="AD16" s="47"/>
      <c r="AE16" s="12" t="str">
        <f>IF(AF16=0,VLOOKUP(X16,Kontenplan!$Z$9:$AB$551,3),"")</f>
        <v/>
      </c>
      <c r="AF16" s="47">
        <f t="shared" si="25"/>
        <v>5080</v>
      </c>
      <c r="AG16" s="12" t="str">
        <f t="shared" ca="1" si="26"/>
        <v>NK-Akkontozhlg: Partei 8</v>
      </c>
      <c r="AH16" s="46">
        <f t="shared" ca="1" si="27"/>
        <v>0</v>
      </c>
      <c r="AI16" s="46" t="str">
        <f t="shared" ca="1" si="28"/>
        <v/>
      </c>
      <c r="AJ16" s="46"/>
      <c r="AK16" s="147">
        <f t="shared" ca="1" si="29"/>
        <v>2</v>
      </c>
      <c r="AL16" s="147">
        <f t="shared" si="30"/>
        <v>2.0003000000000006</v>
      </c>
      <c r="AM16" s="12">
        <f>IF(V16&lt;=AO$3,VLOOKUP(V16,Kontenplan!$A$9:$D$278,4),"")</f>
        <v>0</v>
      </c>
      <c r="AN16" s="12">
        <f t="shared" si="31"/>
        <v>1300</v>
      </c>
      <c r="AO16" s="12" t="str">
        <f t="shared" ca="1" si="32"/>
        <v>Transitorische Aktiven</v>
      </c>
      <c r="AP16" s="46">
        <f t="shared" ca="1" si="33"/>
        <v>0</v>
      </c>
      <c r="AQ16" s="46">
        <f t="shared" ca="1" si="34"/>
        <v>0</v>
      </c>
      <c r="AR16" s="46"/>
      <c r="AS16" s="147">
        <f t="shared" ca="1" si="35"/>
        <v>2.0001000000000002</v>
      </c>
      <c r="AT16" s="147">
        <f t="shared" si="36"/>
        <v>2.0004000000000008</v>
      </c>
      <c r="AU16" s="47" t="str">
        <f>IF(V16&lt;=AW$3,VLOOKUP(AO$3+V16,Kontenplan!$A$9:$D$278,4),"")</f>
        <v/>
      </c>
      <c r="AV16" s="12">
        <f t="shared" si="37"/>
        <v>0</v>
      </c>
      <c r="AW16" s="12" t="str">
        <f t="shared" ca="1" si="38"/>
        <v/>
      </c>
      <c r="AX16" s="46">
        <f t="shared" ca="1" si="6"/>
        <v>0</v>
      </c>
      <c r="AY16" s="46" t="str">
        <f t="shared" ca="1" si="39"/>
        <v/>
      </c>
      <c r="BA16" s="12">
        <f>Kontenplan!R18</f>
        <v>3</v>
      </c>
      <c r="BB16" s="12">
        <f>Kontenplan!S18</f>
        <v>0</v>
      </c>
      <c r="BC16" s="12">
        <f>Kontenplan!T18</f>
        <v>0</v>
      </c>
      <c r="BD16" s="170">
        <f>Kontenplan!U18</f>
        <v>0</v>
      </c>
      <c r="BF16" s="24">
        <f ca="1">SUM(AP$7:AP16)</f>
        <v>0</v>
      </c>
      <c r="BG16" s="46">
        <f ca="1">SUM(AQ$7:AQ15)</f>
        <v>0</v>
      </c>
      <c r="BH16" s="24">
        <f t="shared" ca="1" si="40"/>
        <v>0</v>
      </c>
      <c r="BI16" s="24"/>
      <c r="BJ16" s="24">
        <f ca="1">SUM(AX$7:AX16)</f>
        <v>0</v>
      </c>
      <c r="BK16" s="24">
        <f ca="1">SUM(AY$7:AY15)</f>
        <v>0</v>
      </c>
      <c r="BL16" s="24">
        <f t="shared" ca="1" si="41"/>
        <v>0</v>
      </c>
      <c r="BN16" s="24">
        <f ca="1">SUM(AB$7:AB16)</f>
        <v>0</v>
      </c>
      <c r="BO16" s="46">
        <f ca="1">SUM(AC$7:AC15)</f>
        <v>0</v>
      </c>
      <c r="BP16" s="24">
        <f t="shared" ca="1" si="42"/>
        <v>0</v>
      </c>
      <c r="BR16" s="24">
        <f ca="1">SUM(AH$7:AH16)</f>
        <v>0</v>
      </c>
      <c r="BS16" s="46">
        <f ca="1">SUM(AI$7:AI15)</f>
        <v>0</v>
      </c>
      <c r="BT16" s="24">
        <f t="shared" ca="1" si="43"/>
        <v>0</v>
      </c>
    </row>
    <row r="17" spans="1:72" s="12" customFormat="1">
      <c r="A17" s="202">
        <f>Kontenplan!C19</f>
        <v>0</v>
      </c>
      <c r="B17" s="224">
        <f>Kontenplan!E19</f>
        <v>0</v>
      </c>
      <c r="C17" s="225">
        <f>Kontenplan!F19</f>
        <v>0</v>
      </c>
      <c r="D17" s="43">
        <f>IF(B17=0,0,SUMIF(Journal!$F$7:$F$83,Calc!B17,Journal!$I$7:$I$83))</f>
        <v>0</v>
      </c>
      <c r="E17" s="15">
        <f>IF(B17=0,0,SUMIF(Journal!$G$7:$M91,Calc!B17,Journal!$I$7:$I$83))</f>
        <v>0</v>
      </c>
      <c r="F17" s="44">
        <f t="shared" si="7"/>
        <v>0</v>
      </c>
      <c r="G17" s="15">
        <f t="shared" si="8"/>
        <v>0</v>
      </c>
      <c r="H17" s="14" t="str">
        <f t="shared" si="9"/>
        <v xml:space="preserve"> </v>
      </c>
      <c r="I17" s="43" t="str">
        <f t="shared" si="10"/>
        <v xml:space="preserve"> </v>
      </c>
      <c r="J17" s="45" t="str">
        <f t="shared" si="11"/>
        <v xml:space="preserve"> </v>
      </c>
      <c r="K17" s="48" t="str">
        <f t="shared" si="12"/>
        <v xml:space="preserve"> </v>
      </c>
      <c r="L17" s="45" t="str">
        <f t="shared" si="13"/>
        <v xml:space="preserve"> </v>
      </c>
      <c r="M17" s="48" t="str">
        <f t="shared" si="14"/>
        <v xml:space="preserve"> </v>
      </c>
      <c r="N17" s="24"/>
      <c r="O17" s="12">
        <f t="shared" si="15"/>
        <v>10.0002</v>
      </c>
      <c r="P17" s="12">
        <f t="shared" si="16"/>
        <v>1</v>
      </c>
      <c r="Q17" s="12">
        <f t="shared" si="17"/>
        <v>2.2000000000000006E-3</v>
      </c>
      <c r="R17" s="12">
        <f t="shared" si="18"/>
        <v>2.2000000000000006E-3</v>
      </c>
      <c r="S17" s="12">
        <f t="shared" si="19"/>
        <v>0</v>
      </c>
      <c r="T17" s="12">
        <f t="shared" si="20"/>
        <v>0</v>
      </c>
      <c r="U17" s="43">
        <f>IF(OR(A17=Kontenplan!$C$3,A17=Kontenplan!$C$5),F17-G17,G17-F17)</f>
        <v>0</v>
      </c>
      <c r="V17" s="171">
        <f t="shared" si="3"/>
        <v>11</v>
      </c>
      <c r="W17" s="12">
        <f t="shared" si="4"/>
        <v>3.0000200000000001</v>
      </c>
      <c r="X17" s="12">
        <f t="shared" si="5"/>
        <v>2.0000900000000006</v>
      </c>
      <c r="Y17" s="12" t="str">
        <f>IF(Z17=0,VLOOKUP(W17,Kontenplan!$Y$9:$AA$551,3),"")</f>
        <v/>
      </c>
      <c r="Z17" s="12">
        <f t="shared" si="21"/>
        <v>3420</v>
      </c>
      <c r="AA17" s="12" t="str">
        <f t="shared" ca="1" si="22"/>
        <v>Hauswartdienst</v>
      </c>
      <c r="AB17" s="46">
        <f t="shared" ca="1" si="23"/>
        <v>0</v>
      </c>
      <c r="AC17" s="46" t="str">
        <f t="shared" ca="1" si="24"/>
        <v/>
      </c>
      <c r="AD17" s="47"/>
      <c r="AE17" s="12" t="str">
        <f>IF(AF17=0,VLOOKUP(X17,Kontenplan!$Z$9:$AB$551,3),"")</f>
        <v/>
      </c>
      <c r="AF17" s="47">
        <f t="shared" si="25"/>
        <v>5090</v>
      </c>
      <c r="AG17" s="12" t="str">
        <f t="shared" ca="1" si="26"/>
        <v>NK-Akkontozhlg: Partei 9</v>
      </c>
      <c r="AH17" s="46">
        <f t="shared" ca="1" si="27"/>
        <v>0</v>
      </c>
      <c r="AI17" s="46" t="str">
        <f t="shared" ca="1" si="28"/>
        <v/>
      </c>
      <c r="AJ17" s="46"/>
      <c r="AK17" s="147">
        <f t="shared" ca="1" si="29"/>
        <v>2.0001000000000002</v>
      </c>
      <c r="AL17" s="147">
        <f t="shared" si="30"/>
        <v>2.0004000000000008</v>
      </c>
      <c r="AM17" s="12" t="str">
        <f>IF(V17&lt;=AO$3,VLOOKUP(V17,Kontenplan!$A$9:$D$278,4),"")</f>
        <v/>
      </c>
      <c r="AN17" s="12">
        <f t="shared" si="31"/>
        <v>0</v>
      </c>
      <c r="AO17" s="12" t="str">
        <f t="shared" ca="1" si="32"/>
        <v>Gewinn</v>
      </c>
      <c r="AP17" s="46">
        <f t="shared" ca="1" si="33"/>
        <v>0</v>
      </c>
      <c r="AQ17" s="46" t="str">
        <f t="shared" ca="1" si="34"/>
        <v/>
      </c>
      <c r="AR17" s="46"/>
      <c r="AS17" s="147">
        <f t="shared" ca="1" si="35"/>
        <v>3</v>
      </c>
      <c r="AT17" s="147">
        <f t="shared" si="36"/>
        <v>2.0005000000000011</v>
      </c>
      <c r="AU17" s="47" t="str">
        <f>IF(V17&lt;=AW$3,VLOOKUP(AO$3+V17,Kontenplan!$A$9:$D$278,4),"")</f>
        <v/>
      </c>
      <c r="AV17" s="12">
        <f t="shared" si="37"/>
        <v>0</v>
      </c>
      <c r="AW17" s="12" t="str">
        <f t="shared" ca="1" si="38"/>
        <v>Gewinn</v>
      </c>
      <c r="AX17" s="46">
        <f t="shared" ca="1" si="6"/>
        <v>0</v>
      </c>
      <c r="AY17" s="46">
        <f t="shared" ca="1" si="39"/>
        <v>0</v>
      </c>
      <c r="BA17" s="12">
        <f>Kontenplan!R19</f>
        <v>3</v>
      </c>
      <c r="BB17" s="12">
        <f>Kontenplan!S19</f>
        <v>1</v>
      </c>
      <c r="BC17" s="12">
        <f>Kontenplan!T19</f>
        <v>0</v>
      </c>
      <c r="BD17" s="170">
        <f>Kontenplan!U19</f>
        <v>0</v>
      </c>
      <c r="BF17" s="24">
        <f ca="1">SUM(AP$7:AP17)</f>
        <v>0</v>
      </c>
      <c r="BG17" s="46">
        <f ca="1">SUM(AQ$7:AQ16)</f>
        <v>0</v>
      </c>
      <c r="BH17" s="24">
        <f t="shared" ca="1" si="40"/>
        <v>0</v>
      </c>
      <c r="BI17" s="24"/>
      <c r="BJ17" s="24">
        <f ca="1">SUM(AX$7:AX17)</f>
        <v>0</v>
      </c>
      <c r="BK17" s="24">
        <f ca="1">SUM(AY$7:AY16)</f>
        <v>0</v>
      </c>
      <c r="BL17" s="24">
        <f t="shared" ca="1" si="41"/>
        <v>0</v>
      </c>
      <c r="BN17" s="24">
        <f ca="1">SUM(AB$7:AB17)</f>
        <v>0</v>
      </c>
      <c r="BO17" s="46">
        <f ca="1">SUM(AC$7:AC16)</f>
        <v>0</v>
      </c>
      <c r="BP17" s="24">
        <f t="shared" ca="1" si="42"/>
        <v>0</v>
      </c>
      <c r="BR17" s="24">
        <f ca="1">SUM(AH$7:AH17)</f>
        <v>0</v>
      </c>
      <c r="BS17" s="46">
        <f ca="1">SUM(AI$7:AI16)</f>
        <v>0</v>
      </c>
      <c r="BT17" s="24">
        <f t="shared" ca="1" si="43"/>
        <v>0</v>
      </c>
    </row>
    <row r="18" spans="1:72" s="12" customFormat="1">
      <c r="A18" s="202" t="str">
        <f>Kontenplan!C20</f>
        <v>Passivkonto</v>
      </c>
      <c r="B18" s="224">
        <f>Kontenplan!E20</f>
        <v>2000</v>
      </c>
      <c r="C18" s="225" t="str">
        <f>Kontenplan!F20</f>
        <v>Kreditoren</v>
      </c>
      <c r="D18" s="43">
        <f>IF(B18=0,0,SUMIF(Journal!$F$7:$F$83,Calc!B18,Journal!$I$7:$I$83))</f>
        <v>0</v>
      </c>
      <c r="E18" s="15">
        <f ca="1">IF(B18=0,0,SUMIF(Journal!$G$7:$M92,Calc!B18,Journal!$I$7:$I$83))</f>
        <v>0</v>
      </c>
      <c r="F18" s="44">
        <f t="shared" ca="1" si="7"/>
        <v>0</v>
      </c>
      <c r="G18" s="15">
        <f t="shared" ca="1" si="8"/>
        <v>0</v>
      </c>
      <c r="H18" s="14" t="str">
        <f t="shared" ca="1" si="9"/>
        <v xml:space="preserve"> </v>
      </c>
      <c r="I18" s="43" t="str">
        <f t="shared" ca="1" si="10"/>
        <v xml:space="preserve"> </v>
      </c>
      <c r="J18" s="45" t="str">
        <f t="shared" ca="1" si="11"/>
        <v xml:space="preserve"> </v>
      </c>
      <c r="K18" s="48" t="str">
        <f t="shared" ca="1" si="12"/>
        <v xml:space="preserve"> </v>
      </c>
      <c r="L18" s="45" t="str">
        <f t="shared" ca="1" si="13"/>
        <v xml:space="preserve"> </v>
      </c>
      <c r="M18" s="48" t="str">
        <f t="shared" ca="1" si="14"/>
        <v xml:space="preserve"> </v>
      </c>
      <c r="N18" s="24"/>
      <c r="O18" s="12">
        <f t="shared" si="15"/>
        <v>10.000399999999999</v>
      </c>
      <c r="P18" s="12">
        <f t="shared" si="16"/>
        <v>2</v>
      </c>
      <c r="Q18" s="12">
        <f t="shared" si="17"/>
        <v>2.4000000000000007E-3</v>
      </c>
      <c r="R18" s="12">
        <f t="shared" si="18"/>
        <v>2.4000000000000007E-3</v>
      </c>
      <c r="S18" s="12">
        <f t="shared" si="19"/>
        <v>2000</v>
      </c>
      <c r="T18" s="12" t="str">
        <f t="shared" si="20"/>
        <v>Kreditoren</v>
      </c>
      <c r="U18" s="43">
        <f ca="1">IF(OR(A18=Kontenplan!$C$3,A18=Kontenplan!$C$5),F18-G18,G18-F18)</f>
        <v>0</v>
      </c>
      <c r="V18" s="171">
        <f t="shared" si="3"/>
        <v>12</v>
      </c>
      <c r="W18" s="12">
        <f t="shared" si="4"/>
        <v>3.0000300000000002</v>
      </c>
      <c r="X18" s="12">
        <f t="shared" si="5"/>
        <v>2.0001000000000007</v>
      </c>
      <c r="Y18" s="12" t="str">
        <f>IF(Z18=0,VLOOKUP(W18,Kontenplan!$Y$9:$AA$551,3),"")</f>
        <v/>
      </c>
      <c r="Z18" s="12">
        <f t="shared" si="21"/>
        <v>3440</v>
      </c>
      <c r="AA18" s="12" t="str">
        <f t="shared" ca="1" si="22"/>
        <v>evtl. Hauswartdienst II</v>
      </c>
      <c r="AB18" s="46">
        <f t="shared" ca="1" si="23"/>
        <v>0</v>
      </c>
      <c r="AC18" s="46" t="str">
        <f t="shared" ca="1" si="24"/>
        <v/>
      </c>
      <c r="AD18" s="47"/>
      <c r="AE18" s="12" t="str">
        <f>IF(AF18=0,VLOOKUP(X18,Kontenplan!$Z$9:$AB$551,3),"")</f>
        <v/>
      </c>
      <c r="AF18" s="47">
        <f t="shared" si="25"/>
        <v>5100</v>
      </c>
      <c r="AG18" s="12" t="str">
        <f t="shared" ca="1" si="26"/>
        <v>NK-Akkontozhlg: Partei 10</v>
      </c>
      <c r="AH18" s="46">
        <f t="shared" ca="1" si="27"/>
        <v>0</v>
      </c>
      <c r="AI18" s="46" t="str">
        <f t="shared" ca="1" si="28"/>
        <v/>
      </c>
      <c r="AJ18" s="46"/>
      <c r="AK18" s="147">
        <f t="shared" ca="1" si="29"/>
        <v>2.0002000000000004</v>
      </c>
      <c r="AL18" s="147">
        <f t="shared" si="30"/>
        <v>2.0005000000000011</v>
      </c>
      <c r="AM18" s="12" t="str">
        <f>IF(V18&lt;=AO$3,VLOOKUP(V18,Kontenplan!$A$9:$D$278,4),"")</f>
        <v/>
      </c>
      <c r="AN18" s="12">
        <f t="shared" si="31"/>
        <v>0</v>
      </c>
      <c r="AO18" s="12" t="str">
        <f t="shared" ca="1" si="32"/>
        <v>Total</v>
      </c>
      <c r="AP18" s="46" t="str">
        <f t="shared" ca="1" si="33"/>
        <v>c</v>
      </c>
      <c r="AQ18" s="46">
        <f t="shared" ca="1" si="34"/>
        <v>0</v>
      </c>
      <c r="AR18" s="46"/>
      <c r="AS18" s="147">
        <f t="shared" ca="1" si="35"/>
        <v>3.0001000000000002</v>
      </c>
      <c r="AT18" s="147">
        <f t="shared" si="36"/>
        <v>2.0006000000000013</v>
      </c>
      <c r="AU18" s="47" t="str">
        <f>IF(V18&lt;=AW$3,VLOOKUP(AO$3+V18,Kontenplan!$A$9:$D$278,4),"")</f>
        <v/>
      </c>
      <c r="AV18" s="12">
        <f t="shared" si="37"/>
        <v>0</v>
      </c>
      <c r="AW18" s="12" t="str">
        <f t="shared" ca="1" si="38"/>
        <v>Total</v>
      </c>
      <c r="AX18" s="46" t="str">
        <f t="shared" ca="1" si="6"/>
        <v>c</v>
      </c>
      <c r="AY18" s="46">
        <f t="shared" ca="1" si="39"/>
        <v>0</v>
      </c>
      <c r="BA18" s="12">
        <f>Kontenplan!R20</f>
        <v>3</v>
      </c>
      <c r="BB18" s="12">
        <f>Kontenplan!S20</f>
        <v>1</v>
      </c>
      <c r="BC18" s="12">
        <f>Kontenplan!T20</f>
        <v>0</v>
      </c>
      <c r="BD18" s="170">
        <f>Kontenplan!U20</f>
        <v>0</v>
      </c>
      <c r="BF18" s="24">
        <f ca="1">SUM(AP$7:AP18)</f>
        <v>0</v>
      </c>
      <c r="BG18" s="46">
        <f ca="1">SUM(AQ$7:AQ17)</f>
        <v>0</v>
      </c>
      <c r="BH18" s="24">
        <f t="shared" ca="1" si="40"/>
        <v>0</v>
      </c>
      <c r="BI18" s="24"/>
      <c r="BJ18" s="24">
        <f ca="1">SUM(AX$7:AX18)</f>
        <v>0</v>
      </c>
      <c r="BK18" s="24">
        <f ca="1">SUM(AY$7:AY17)</f>
        <v>0</v>
      </c>
      <c r="BL18" s="24">
        <f t="shared" ca="1" si="41"/>
        <v>0</v>
      </c>
      <c r="BN18" s="24">
        <f ca="1">SUM(AB$7:AB18)</f>
        <v>0</v>
      </c>
      <c r="BO18" s="46">
        <f ca="1">SUM(AC$7:AC17)</f>
        <v>0</v>
      </c>
      <c r="BP18" s="24">
        <f t="shared" ca="1" si="42"/>
        <v>0</v>
      </c>
      <c r="BR18" s="24">
        <f ca="1">SUM(AH$7:AH18)</f>
        <v>0</v>
      </c>
      <c r="BS18" s="46">
        <f ca="1">SUM(AI$7:AI17)</f>
        <v>0</v>
      </c>
      <c r="BT18" s="24">
        <f t="shared" ca="1" si="43"/>
        <v>0</v>
      </c>
    </row>
    <row r="19" spans="1:72" s="12" customFormat="1">
      <c r="A19" s="202" t="str">
        <f>Kontenplan!C21</f>
        <v>Passivkonto</v>
      </c>
      <c r="B19" s="224">
        <f>Kontenplan!E21</f>
        <v>2300</v>
      </c>
      <c r="C19" s="225" t="str">
        <f>Kontenplan!F21</f>
        <v>Transitorische Passiven</v>
      </c>
      <c r="D19" s="43">
        <f>IF(B19=0,0,SUMIF(Journal!$F$7:$F$83,Calc!B19,Journal!$I$7:$I$83))</f>
        <v>0</v>
      </c>
      <c r="E19" s="15">
        <f ca="1">IF(B19=0,0,SUMIF(Journal!$G$7:$M93,Calc!B19,Journal!$I$7:$I$83))</f>
        <v>0</v>
      </c>
      <c r="F19" s="44">
        <f t="shared" ca="1" si="7"/>
        <v>0</v>
      </c>
      <c r="G19" s="15">
        <f t="shared" ca="1" si="8"/>
        <v>0</v>
      </c>
      <c r="H19" s="14" t="str">
        <f t="shared" ca="1" si="9"/>
        <v xml:space="preserve"> </v>
      </c>
      <c r="I19" s="43" t="str">
        <f t="shared" ca="1" si="10"/>
        <v xml:space="preserve"> </v>
      </c>
      <c r="J19" s="45" t="str">
        <f t="shared" ca="1" si="11"/>
        <v xml:space="preserve"> </v>
      </c>
      <c r="K19" s="48" t="str">
        <f t="shared" ca="1" si="12"/>
        <v xml:space="preserve"> </v>
      </c>
      <c r="L19" s="45" t="str">
        <f t="shared" ca="1" si="13"/>
        <v xml:space="preserve"> </v>
      </c>
      <c r="M19" s="48" t="str">
        <f t="shared" ca="1" si="14"/>
        <v xml:space="preserve"> </v>
      </c>
      <c r="N19" s="24"/>
      <c r="O19" s="12">
        <f t="shared" si="15"/>
        <v>10.000599999999999</v>
      </c>
      <c r="P19" s="12">
        <f t="shared" si="16"/>
        <v>3</v>
      </c>
      <c r="Q19" s="12">
        <f t="shared" si="17"/>
        <v>2.6000000000000007E-3</v>
      </c>
      <c r="R19" s="12">
        <f t="shared" si="18"/>
        <v>2.6000000000000007E-3</v>
      </c>
      <c r="S19" s="12">
        <f t="shared" si="19"/>
        <v>2300</v>
      </c>
      <c r="T19" s="12" t="str">
        <f t="shared" si="20"/>
        <v>Transitorische Passiven</v>
      </c>
      <c r="U19" s="43">
        <f ca="1">IF(OR(A19=Kontenplan!$C$3,A19=Kontenplan!$C$5),F19-G19,G19-F19)</f>
        <v>0</v>
      </c>
      <c r="V19" s="171">
        <f t="shared" si="3"/>
        <v>13</v>
      </c>
      <c r="W19" s="12">
        <f t="shared" si="4"/>
        <v>3.0000400000000003</v>
      </c>
      <c r="X19" s="12">
        <f t="shared" si="5"/>
        <v>2.0001100000000007</v>
      </c>
      <c r="Y19" s="12" t="str">
        <f>IF(Z19=0,VLOOKUP(W19,Kontenplan!$Y$9:$AA$551,3),"")</f>
        <v/>
      </c>
      <c r="Z19" s="12">
        <f t="shared" si="21"/>
        <v>3480</v>
      </c>
      <c r="AA19" s="12" t="str">
        <f t="shared" ca="1" si="22"/>
        <v>Hauswart AHV</v>
      </c>
      <c r="AB19" s="46">
        <f t="shared" ca="1" si="23"/>
        <v>0</v>
      </c>
      <c r="AC19" s="46" t="str">
        <f t="shared" ca="1" si="24"/>
        <v/>
      </c>
      <c r="AD19" s="47"/>
      <c r="AE19" s="12" t="str">
        <f>IF(AF19=0,VLOOKUP(X19,Kontenplan!$Z$9:$AB$551,3),"")</f>
        <v/>
      </c>
      <c r="AF19" s="47">
        <f t="shared" si="25"/>
        <v>5110</v>
      </c>
      <c r="AG19" s="12" t="str">
        <f t="shared" ca="1" si="26"/>
        <v>NK-Akkontozhlg: Partei 11</v>
      </c>
      <c r="AH19" s="46">
        <f t="shared" ca="1" si="27"/>
        <v>0</v>
      </c>
      <c r="AI19" s="46" t="str">
        <f t="shared" ca="1" si="28"/>
        <v/>
      </c>
      <c r="AJ19" s="46"/>
      <c r="AK19" s="147">
        <f t="shared" ca="1" si="29"/>
        <v>2.0003000000000006</v>
      </c>
      <c r="AL19" s="147">
        <f t="shared" si="30"/>
        <v>2.0006000000000013</v>
      </c>
      <c r="AM19" s="12" t="str">
        <f>IF(V19&lt;=AO$3,VLOOKUP(V19,Kontenplan!$A$9:$D$278,4),"")</f>
        <v/>
      </c>
      <c r="AN19" s="12">
        <f t="shared" si="31"/>
        <v>0</v>
      </c>
      <c r="AO19" s="12" t="str">
        <f t="shared" ca="1" si="32"/>
        <v/>
      </c>
      <c r="AP19" s="46" t="str">
        <f t="shared" ca="1" si="33"/>
        <v/>
      </c>
      <c r="AQ19" s="46" t="str">
        <f t="shared" ca="1" si="34"/>
        <v/>
      </c>
      <c r="AR19" s="46"/>
      <c r="AS19" s="147">
        <f t="shared" ca="1" si="35"/>
        <v>3.0002000000000004</v>
      </c>
      <c r="AT19" s="147">
        <f t="shared" si="36"/>
        <v>2.0007000000000015</v>
      </c>
      <c r="AU19" s="47" t="str">
        <f>IF(V19&lt;=AW$3,VLOOKUP(AO$3+V19,Kontenplan!$A$9:$D$278,4),"")</f>
        <v/>
      </c>
      <c r="AV19" s="12">
        <f t="shared" si="37"/>
        <v>0</v>
      </c>
      <c r="AW19" s="12" t="str">
        <f t="shared" ca="1" si="38"/>
        <v/>
      </c>
      <c r="AX19" s="46" t="str">
        <f t="shared" ca="1" si="6"/>
        <v/>
      </c>
      <c r="AY19" s="46" t="str">
        <f t="shared" ca="1" si="39"/>
        <v/>
      </c>
      <c r="BA19" s="12">
        <f>Kontenplan!R21</f>
        <v>3</v>
      </c>
      <c r="BB19" s="12">
        <f>Kontenplan!S21</f>
        <v>1</v>
      </c>
      <c r="BC19" s="12">
        <f>Kontenplan!T21</f>
        <v>0</v>
      </c>
      <c r="BD19" s="170">
        <f>Kontenplan!U21</f>
        <v>0</v>
      </c>
      <c r="BF19" s="24">
        <f ca="1">SUM(AP$7:AP19)</f>
        <v>0</v>
      </c>
      <c r="BG19" s="46">
        <f ca="1">SUM(AQ$7:AQ18)</f>
        <v>0</v>
      </c>
      <c r="BH19" s="24">
        <f t="shared" ca="1" si="40"/>
        <v>0</v>
      </c>
      <c r="BI19" s="24"/>
      <c r="BJ19" s="24">
        <f ca="1">SUM(AX$7:AX19)</f>
        <v>0</v>
      </c>
      <c r="BK19" s="24">
        <f ca="1">SUM(AY$7:AY18)</f>
        <v>0</v>
      </c>
      <c r="BL19" s="24">
        <f t="shared" ca="1" si="41"/>
        <v>0</v>
      </c>
      <c r="BN19" s="24">
        <f ca="1">SUM(AB$7:AB19)</f>
        <v>0</v>
      </c>
      <c r="BO19" s="46">
        <f ca="1">SUM(AC$7:AC18)</f>
        <v>0</v>
      </c>
      <c r="BP19" s="24">
        <f t="shared" ca="1" si="42"/>
        <v>0</v>
      </c>
      <c r="BR19" s="24">
        <f ca="1">SUM(AH$7:AH19)</f>
        <v>0</v>
      </c>
      <c r="BS19" s="46">
        <f ca="1">SUM(AI$7:AI18)</f>
        <v>0</v>
      </c>
      <c r="BT19" s="24">
        <f t="shared" ca="1" si="43"/>
        <v>0</v>
      </c>
    </row>
    <row r="20" spans="1:72" s="12" customFormat="1">
      <c r="A20" s="202" t="str">
        <f>Kontenplan!C22</f>
        <v>Passivkonto</v>
      </c>
      <c r="B20" s="224">
        <f>Kontenplan!E22</f>
        <v>2500</v>
      </c>
      <c r="C20" s="225" t="str">
        <f>Kontenplan!F22</f>
        <v>Darlehen</v>
      </c>
      <c r="D20" s="43">
        <f>IF(B20=0,0,SUMIF(Journal!$F$7:$F$83,Calc!B20,Journal!$I$7:$I$83))</f>
        <v>0</v>
      </c>
      <c r="E20" s="15">
        <f ca="1">IF(B20=0,0,SUMIF(Journal!$G$7:$M94,Calc!B20,Journal!$I$7:$I$83))</f>
        <v>0</v>
      </c>
      <c r="F20" s="44">
        <f t="shared" ca="1" si="7"/>
        <v>0</v>
      </c>
      <c r="G20" s="15">
        <f t="shared" ca="1" si="8"/>
        <v>0</v>
      </c>
      <c r="H20" s="14" t="str">
        <f t="shared" ca="1" si="9"/>
        <v xml:space="preserve"> </v>
      </c>
      <c r="I20" s="43" t="str">
        <f t="shared" ca="1" si="10"/>
        <v xml:space="preserve"> </v>
      </c>
      <c r="J20" s="45" t="str">
        <f t="shared" ca="1" si="11"/>
        <v xml:space="preserve"> </v>
      </c>
      <c r="K20" s="48" t="str">
        <f t="shared" ca="1" si="12"/>
        <v xml:space="preserve"> </v>
      </c>
      <c r="L20" s="45" t="str">
        <f t="shared" ca="1" si="13"/>
        <v xml:space="preserve"> </v>
      </c>
      <c r="M20" s="48" t="str">
        <f t="shared" ca="1" si="14"/>
        <v xml:space="preserve"> </v>
      </c>
      <c r="N20" s="24"/>
      <c r="O20" s="12">
        <f t="shared" si="15"/>
        <v>10.000799999999998</v>
      </c>
      <c r="P20" s="12">
        <f t="shared" si="16"/>
        <v>4</v>
      </c>
      <c r="Q20" s="12">
        <f t="shared" si="17"/>
        <v>2.8000000000000008E-3</v>
      </c>
      <c r="R20" s="12">
        <f t="shared" si="18"/>
        <v>2.8000000000000008E-3</v>
      </c>
      <c r="S20" s="12">
        <f t="shared" si="19"/>
        <v>2500</v>
      </c>
      <c r="T20" s="12" t="str">
        <f t="shared" si="20"/>
        <v>Darlehen</v>
      </c>
      <c r="U20" s="43">
        <f ca="1">IF(OR(A20=Kontenplan!$C$3,A20=Kontenplan!$C$5),F20-G20,G20-F20)</f>
        <v>0</v>
      </c>
      <c r="V20" s="171">
        <f t="shared" si="3"/>
        <v>14</v>
      </c>
      <c r="W20" s="12">
        <f t="shared" si="4"/>
        <v>3.0000500000000003</v>
      </c>
      <c r="X20" s="12">
        <f t="shared" si="5"/>
        <v>2.0001200000000008</v>
      </c>
      <c r="Y20" s="12" t="str">
        <f>IF(Z20=0,VLOOKUP(W20,Kontenplan!$Y$9:$AA$551,3),"")</f>
        <v/>
      </c>
      <c r="Z20" s="12">
        <f t="shared" si="21"/>
        <v>3500</v>
      </c>
      <c r="AA20" s="12" t="str">
        <f t="shared" ca="1" si="22"/>
        <v>Gebäudeversicherung</v>
      </c>
      <c r="AB20" s="46">
        <f t="shared" ca="1" si="23"/>
        <v>0</v>
      </c>
      <c r="AC20" s="46" t="str">
        <f t="shared" ca="1" si="24"/>
        <v/>
      </c>
      <c r="AD20" s="47"/>
      <c r="AE20" s="12" t="str">
        <f>IF(AF20=0,VLOOKUP(X20,Kontenplan!$Z$9:$AB$551,3),"")</f>
        <v/>
      </c>
      <c r="AF20" s="47">
        <f t="shared" si="25"/>
        <v>5120</v>
      </c>
      <c r="AG20" s="12" t="str">
        <f t="shared" ca="1" si="26"/>
        <v>NK-Akkontozhlg: Partei 12</v>
      </c>
      <c r="AH20" s="46">
        <f t="shared" ca="1" si="27"/>
        <v>0</v>
      </c>
      <c r="AI20" s="46">
        <f t="shared" ca="1" si="28"/>
        <v>0</v>
      </c>
      <c r="AJ20" s="46"/>
      <c r="AK20" s="147">
        <f t="shared" ca="1" si="29"/>
        <v>2.0004000000000008</v>
      </c>
      <c r="AL20" s="147">
        <f t="shared" si="30"/>
        <v>2.0007000000000015</v>
      </c>
      <c r="AM20" s="12" t="str">
        <f>IF(V20&lt;=AO$3,VLOOKUP(V20,Kontenplan!$A$9:$D$278,4),"")</f>
        <v/>
      </c>
      <c r="AN20" s="12">
        <f t="shared" si="31"/>
        <v>0</v>
      </c>
      <c r="AO20" s="12" t="str">
        <f t="shared" ca="1" si="32"/>
        <v/>
      </c>
      <c r="AP20" s="46" t="str">
        <f t="shared" ca="1" si="33"/>
        <v/>
      </c>
      <c r="AQ20" s="46" t="str">
        <f t="shared" ca="1" si="34"/>
        <v/>
      </c>
      <c r="AR20" s="46"/>
      <c r="AS20" s="147">
        <f t="shared" ca="1" si="35"/>
        <v>3.0003000000000006</v>
      </c>
      <c r="AT20" s="147">
        <f t="shared" si="36"/>
        <v>2.0008000000000017</v>
      </c>
      <c r="AU20" s="47" t="str">
        <f>IF(V20&lt;=AW$3,VLOOKUP(AO$3+V20,Kontenplan!$A$9:$D$278,4),"")</f>
        <v/>
      </c>
      <c r="AV20" s="12">
        <f t="shared" si="37"/>
        <v>0</v>
      </c>
      <c r="AW20" s="12" t="str">
        <f t="shared" ca="1" si="38"/>
        <v/>
      </c>
      <c r="AX20" s="46" t="str">
        <f t="shared" ca="1" si="6"/>
        <v/>
      </c>
      <c r="AY20" s="46" t="str">
        <f t="shared" ca="1" si="39"/>
        <v/>
      </c>
      <c r="BA20" s="12">
        <f>Kontenplan!R22</f>
        <v>3</v>
      </c>
      <c r="BB20" s="12">
        <f>Kontenplan!S22</f>
        <v>1</v>
      </c>
      <c r="BC20" s="12">
        <f>Kontenplan!T22</f>
        <v>0</v>
      </c>
      <c r="BD20" s="170">
        <f>Kontenplan!U22</f>
        <v>0</v>
      </c>
      <c r="BF20" s="24">
        <f ca="1">SUM(AP$7:AP20)</f>
        <v>0</v>
      </c>
      <c r="BG20" s="46">
        <f ca="1">SUM(AQ$7:AQ19)</f>
        <v>0</v>
      </c>
      <c r="BH20" s="24">
        <f t="shared" ca="1" si="40"/>
        <v>0</v>
      </c>
      <c r="BI20" s="24"/>
      <c r="BJ20" s="24">
        <f ca="1">SUM(AX$7:AX20)</f>
        <v>0</v>
      </c>
      <c r="BK20" s="24">
        <f ca="1">SUM(AY$7:AY19)</f>
        <v>0</v>
      </c>
      <c r="BL20" s="24">
        <f t="shared" ca="1" si="41"/>
        <v>0</v>
      </c>
      <c r="BN20" s="24">
        <f ca="1">SUM(AB$7:AB20)</f>
        <v>0</v>
      </c>
      <c r="BO20" s="46">
        <f ca="1">SUM(AC$7:AC19)</f>
        <v>0</v>
      </c>
      <c r="BP20" s="24">
        <f t="shared" ca="1" si="42"/>
        <v>0</v>
      </c>
      <c r="BR20" s="24">
        <f ca="1">SUM(AH$7:AH20)</f>
        <v>0</v>
      </c>
      <c r="BS20" s="46">
        <f ca="1">SUM(AI$7:AI19)</f>
        <v>0</v>
      </c>
      <c r="BT20" s="24">
        <f t="shared" ca="1" si="43"/>
        <v>0</v>
      </c>
    </row>
    <row r="21" spans="1:72" s="12" customFormat="1">
      <c r="A21" s="202" t="str">
        <f>Kontenplan!C23</f>
        <v>Passivkonto</v>
      </c>
      <c r="B21" s="224">
        <f>Kontenplan!E23</f>
        <v>2600</v>
      </c>
      <c r="C21" s="225" t="str">
        <f>Kontenplan!F23</f>
        <v>Rückstellungen Erneuerungsfonds</v>
      </c>
      <c r="D21" s="43">
        <f>IF(B21=0,0,SUMIF(Journal!$F$7:$F$83,Calc!B21,Journal!$I$7:$I$83))</f>
        <v>0</v>
      </c>
      <c r="E21" s="15">
        <f ca="1">IF(B21=0,0,SUMIF(Journal!$G$7:$M95,Calc!B21,Journal!$I$7:$I$83))</f>
        <v>0</v>
      </c>
      <c r="F21" s="44">
        <f t="shared" ca="1" si="7"/>
        <v>0</v>
      </c>
      <c r="G21" s="15">
        <f t="shared" ca="1" si="8"/>
        <v>0</v>
      </c>
      <c r="H21" s="14" t="str">
        <f t="shared" ca="1" si="9"/>
        <v xml:space="preserve"> </v>
      </c>
      <c r="I21" s="43" t="str">
        <f t="shared" ca="1" si="10"/>
        <v xml:space="preserve"> </v>
      </c>
      <c r="J21" s="45" t="str">
        <f t="shared" ca="1" si="11"/>
        <v xml:space="preserve"> </v>
      </c>
      <c r="K21" s="48" t="str">
        <f t="shared" ca="1" si="12"/>
        <v xml:space="preserve"> </v>
      </c>
      <c r="L21" s="45" t="str">
        <f t="shared" ca="1" si="13"/>
        <v xml:space="preserve"> </v>
      </c>
      <c r="M21" s="48" t="str">
        <f t="shared" ca="1" si="14"/>
        <v xml:space="preserve"> </v>
      </c>
      <c r="N21" s="24"/>
      <c r="O21" s="12">
        <f t="shared" si="15"/>
        <v>10.000999999999998</v>
      </c>
      <c r="P21" s="12">
        <f t="shared" si="16"/>
        <v>5</v>
      </c>
      <c r="Q21" s="12">
        <f t="shared" si="17"/>
        <v>3.0000000000000009E-3</v>
      </c>
      <c r="R21" s="12">
        <f t="shared" si="18"/>
        <v>3.0000000000000009E-3</v>
      </c>
      <c r="S21" s="12">
        <f t="shared" si="19"/>
        <v>2600</v>
      </c>
      <c r="T21" s="12" t="str">
        <f t="shared" si="20"/>
        <v>Rückstellungen Erneuerungsfonds</v>
      </c>
      <c r="U21" s="43">
        <f ca="1">IF(OR(A21=Kontenplan!$C$3,A21=Kontenplan!$C$5),F21-G21,G21-F21)</f>
        <v>0</v>
      </c>
      <c r="V21" s="171">
        <f t="shared" si="3"/>
        <v>15</v>
      </c>
      <c r="W21" s="12">
        <f t="shared" si="4"/>
        <v>3.0000600000000004</v>
      </c>
      <c r="X21" s="12">
        <f t="shared" si="5"/>
        <v>3</v>
      </c>
      <c r="Y21" s="12" t="str">
        <f>IF(Z21=0,VLOOKUP(W21,Kontenplan!$Y$9:$AA$551,3),"")</f>
        <v/>
      </c>
      <c r="Z21" s="12">
        <f t="shared" si="21"/>
        <v>3550</v>
      </c>
      <c r="AA21" s="12" t="str">
        <f t="shared" ca="1" si="22"/>
        <v>evtl. Gebäudeversicherung II</v>
      </c>
      <c r="AB21" s="46">
        <f t="shared" ca="1" si="23"/>
        <v>0</v>
      </c>
      <c r="AC21" s="46" t="str">
        <f t="shared" ca="1" si="24"/>
        <v/>
      </c>
      <c r="AD21" s="47"/>
      <c r="AE21" s="12" t="str">
        <f>IF(AF21=0,VLOOKUP(X21,Kontenplan!$Z$9:$AB$551,3),"")</f>
        <v>NK: Rückzahlungen</v>
      </c>
      <c r="AF21" s="47">
        <f t="shared" si="25"/>
        <v>0</v>
      </c>
      <c r="AG21" s="12" t="str">
        <f t="shared" ca="1" si="26"/>
        <v/>
      </c>
      <c r="AH21" s="46">
        <f t="shared" ca="1" si="27"/>
        <v>0</v>
      </c>
      <c r="AI21" s="46" t="str">
        <f t="shared" ca="1" si="28"/>
        <v/>
      </c>
      <c r="AJ21" s="46"/>
      <c r="AK21" s="147">
        <f t="shared" ca="1" si="29"/>
        <v>2.0005000000000011</v>
      </c>
      <c r="AL21" s="147">
        <f t="shared" si="30"/>
        <v>2.0008000000000017</v>
      </c>
      <c r="AM21" s="12" t="str">
        <f>IF(V21&lt;=AO$3,VLOOKUP(V21,Kontenplan!$A$9:$D$278,4),"")</f>
        <v/>
      </c>
      <c r="AN21" s="12">
        <f t="shared" si="31"/>
        <v>0</v>
      </c>
      <c r="AO21" s="12" t="str">
        <f t="shared" ca="1" si="32"/>
        <v/>
      </c>
      <c r="AP21" s="46" t="str">
        <f t="shared" ca="1" si="33"/>
        <v/>
      </c>
      <c r="AQ21" s="46" t="str">
        <f t="shared" ca="1" si="34"/>
        <v/>
      </c>
      <c r="AR21" s="46"/>
      <c r="AS21" s="147">
        <f t="shared" ca="1" si="35"/>
        <v>3.0004000000000008</v>
      </c>
      <c r="AT21" s="147">
        <f t="shared" si="36"/>
        <v>2.0009000000000019</v>
      </c>
      <c r="AU21" s="47" t="str">
        <f>IF(V21&lt;=AW$3,VLOOKUP(AO$3+V21,Kontenplan!$A$9:$D$278,4),"")</f>
        <v/>
      </c>
      <c r="AV21" s="12">
        <f t="shared" si="37"/>
        <v>0</v>
      </c>
      <c r="AW21" s="12" t="str">
        <f t="shared" ca="1" si="38"/>
        <v/>
      </c>
      <c r="AX21" s="46" t="str">
        <f t="shared" ca="1" si="6"/>
        <v/>
      </c>
      <c r="AY21" s="46" t="str">
        <f t="shared" ca="1" si="39"/>
        <v/>
      </c>
      <c r="BA21" s="12">
        <f>Kontenplan!R23</f>
        <v>3</v>
      </c>
      <c r="BB21" s="12">
        <f>Kontenplan!S23</f>
        <v>1</v>
      </c>
      <c r="BC21" s="12">
        <f>Kontenplan!T23</f>
        <v>0</v>
      </c>
      <c r="BD21" s="170">
        <f>Kontenplan!U23</f>
        <v>0</v>
      </c>
      <c r="BF21" s="24">
        <f ca="1">SUM(AP$7:AP21)</f>
        <v>0</v>
      </c>
      <c r="BG21" s="46">
        <f ca="1">SUM(AQ$7:AQ20)</f>
        <v>0</v>
      </c>
      <c r="BH21" s="24">
        <f t="shared" ca="1" si="40"/>
        <v>0</v>
      </c>
      <c r="BI21" s="24"/>
      <c r="BJ21" s="24">
        <f ca="1">SUM(AX$7:AX21)</f>
        <v>0</v>
      </c>
      <c r="BK21" s="24">
        <f ca="1">SUM(AY$7:AY20)</f>
        <v>0</v>
      </c>
      <c r="BL21" s="24">
        <f t="shared" ca="1" si="41"/>
        <v>0</v>
      </c>
      <c r="BN21" s="24">
        <f ca="1">SUM(AB$7:AB21)</f>
        <v>0</v>
      </c>
      <c r="BO21" s="46">
        <f ca="1">SUM(AC$7:AC20)</f>
        <v>0</v>
      </c>
      <c r="BP21" s="24">
        <f t="shared" ca="1" si="42"/>
        <v>0</v>
      </c>
      <c r="BR21" s="24">
        <f ca="1">SUM(AH$7:AH21)</f>
        <v>0</v>
      </c>
      <c r="BS21" s="46">
        <f ca="1">SUM(AI$7:AI20)</f>
        <v>0</v>
      </c>
      <c r="BT21" s="24">
        <f t="shared" ca="1" si="43"/>
        <v>0</v>
      </c>
    </row>
    <row r="22" spans="1:72" s="12" customFormat="1">
      <c r="A22" s="202">
        <f>Kontenplan!C24</f>
        <v>0</v>
      </c>
      <c r="B22" s="224">
        <f>Kontenplan!E24</f>
        <v>0</v>
      </c>
      <c r="C22" s="225">
        <f>Kontenplan!F24</f>
        <v>0</v>
      </c>
      <c r="D22" s="43">
        <f>IF(B22=0,0,SUMIF(Journal!$F$7:$F$83,Calc!B22,Journal!$I$7:$I$83))</f>
        <v>0</v>
      </c>
      <c r="E22" s="15">
        <f>IF(B22=0,0,SUMIF(Journal!$G$7:$M96,Calc!B22,Journal!$I$7:$I$83))</f>
        <v>0</v>
      </c>
      <c r="F22" s="44">
        <f t="shared" si="7"/>
        <v>0</v>
      </c>
      <c r="G22" s="15">
        <f t="shared" si="8"/>
        <v>0</v>
      </c>
      <c r="H22" s="14" t="str">
        <f t="shared" si="9"/>
        <v xml:space="preserve"> </v>
      </c>
      <c r="I22" s="43" t="str">
        <f t="shared" si="10"/>
        <v xml:space="preserve"> </v>
      </c>
      <c r="J22" s="45" t="str">
        <f t="shared" si="11"/>
        <v xml:space="preserve"> </v>
      </c>
      <c r="K22" s="48" t="str">
        <f t="shared" si="12"/>
        <v xml:space="preserve"> </v>
      </c>
      <c r="L22" s="45" t="str">
        <f t="shared" si="13"/>
        <v xml:space="preserve"> </v>
      </c>
      <c r="M22" s="48" t="str">
        <f t="shared" si="14"/>
        <v xml:space="preserve"> </v>
      </c>
      <c r="N22" s="24"/>
      <c r="O22" s="12">
        <f t="shared" si="15"/>
        <v>10.001199999999997</v>
      </c>
      <c r="P22" s="12">
        <f t="shared" si="16"/>
        <v>6</v>
      </c>
      <c r="Q22" s="12">
        <f t="shared" si="17"/>
        <v>3.200000000000001E-3</v>
      </c>
      <c r="R22" s="12">
        <f t="shared" si="18"/>
        <v>3.200000000000001E-3</v>
      </c>
      <c r="S22" s="12">
        <f t="shared" si="19"/>
        <v>0</v>
      </c>
      <c r="T22" s="12">
        <f t="shared" si="20"/>
        <v>0</v>
      </c>
      <c r="U22" s="43">
        <f>IF(OR(A22=Kontenplan!$C$3,A22=Kontenplan!$C$5),F22-G22,G22-F22)</f>
        <v>0</v>
      </c>
      <c r="V22" s="171">
        <f t="shared" si="3"/>
        <v>16</v>
      </c>
      <c r="W22" s="12">
        <f t="shared" si="4"/>
        <v>3.0000700000000005</v>
      </c>
      <c r="X22" s="12">
        <f t="shared" si="5"/>
        <v>3.0000100000000001</v>
      </c>
      <c r="Y22" s="12" t="str">
        <f>IF(Z22=0,VLOOKUP(W22,Kontenplan!$Y$9:$AA$551,3),"")</f>
        <v/>
      </c>
      <c r="Z22" s="12">
        <f t="shared" si="21"/>
        <v>3600</v>
      </c>
      <c r="AA22" s="12" t="str">
        <f t="shared" ca="1" si="22"/>
        <v>Wartung Heizung</v>
      </c>
      <c r="AB22" s="46">
        <f t="shared" ca="1" si="23"/>
        <v>0</v>
      </c>
      <c r="AC22" s="46" t="str">
        <f t="shared" ca="1" si="24"/>
        <v/>
      </c>
      <c r="AD22" s="47"/>
      <c r="AE22" s="12" t="str">
        <f>IF(AF22=0,VLOOKUP(X22,Kontenplan!$Z$9:$AB$551,3),"")</f>
        <v/>
      </c>
      <c r="AF22" s="47">
        <f t="shared" si="25"/>
        <v>6010</v>
      </c>
      <c r="AG22" s="12" t="str">
        <f t="shared" ca="1" si="26"/>
        <v>NK-Rückzhgen: Partei 1</v>
      </c>
      <c r="AH22" s="46">
        <f t="shared" ca="1" si="27"/>
        <v>0</v>
      </c>
      <c r="AI22" s="46" t="str">
        <f t="shared" ca="1" si="28"/>
        <v/>
      </c>
      <c r="AJ22" s="46"/>
      <c r="AK22" s="147">
        <f t="shared" ca="1" si="29"/>
        <v>2.0006000000000013</v>
      </c>
      <c r="AL22" s="147">
        <f t="shared" si="30"/>
        <v>2.0009000000000019</v>
      </c>
      <c r="AM22" s="12" t="str">
        <f>IF(V22&lt;=AO$3,VLOOKUP(V22,Kontenplan!$A$9:$D$278,4),"")</f>
        <v/>
      </c>
      <c r="AN22" s="12">
        <f t="shared" si="31"/>
        <v>0</v>
      </c>
      <c r="AO22" s="12" t="str">
        <f t="shared" ca="1" si="32"/>
        <v/>
      </c>
      <c r="AP22" s="46" t="str">
        <f t="shared" ca="1" si="33"/>
        <v/>
      </c>
      <c r="AQ22" s="46" t="str">
        <f t="shared" ca="1" si="34"/>
        <v/>
      </c>
      <c r="AR22" s="46"/>
      <c r="AS22" s="147">
        <f t="shared" ca="1" si="35"/>
        <v>3.0005000000000011</v>
      </c>
      <c r="AT22" s="147">
        <f t="shared" si="36"/>
        <v>2.0010000000000021</v>
      </c>
      <c r="AU22" s="47" t="str">
        <f>IF(V22&lt;=AW$3,VLOOKUP(AO$3+V22,Kontenplan!$A$9:$D$278,4),"")</f>
        <v/>
      </c>
      <c r="AV22" s="12">
        <f t="shared" si="37"/>
        <v>0</v>
      </c>
      <c r="AW22" s="12" t="str">
        <f t="shared" ca="1" si="38"/>
        <v/>
      </c>
      <c r="AX22" s="46" t="str">
        <f t="shared" ca="1" si="6"/>
        <v/>
      </c>
      <c r="AY22" s="46" t="str">
        <f t="shared" ca="1" si="39"/>
        <v/>
      </c>
      <c r="BA22" s="12">
        <f>Kontenplan!R24</f>
        <v>3</v>
      </c>
      <c r="BB22" s="12">
        <f>Kontenplan!S24</f>
        <v>2</v>
      </c>
      <c r="BC22" s="12">
        <f>Kontenplan!T24</f>
        <v>0</v>
      </c>
      <c r="BD22" s="170">
        <f>Kontenplan!U24</f>
        <v>0</v>
      </c>
      <c r="BF22" s="24">
        <f ca="1">SUM(AP$7:AP22)</f>
        <v>0</v>
      </c>
      <c r="BG22" s="46">
        <f ca="1">SUM(AQ$7:AQ21)</f>
        <v>0</v>
      </c>
      <c r="BH22" s="24">
        <f t="shared" ca="1" si="40"/>
        <v>0</v>
      </c>
      <c r="BI22" s="24"/>
      <c r="BJ22" s="24">
        <f ca="1">SUM(AX$7:AX22)</f>
        <v>0</v>
      </c>
      <c r="BK22" s="24">
        <f ca="1">SUM(AY$7:AY21)</f>
        <v>0</v>
      </c>
      <c r="BL22" s="24">
        <f t="shared" ca="1" si="41"/>
        <v>0</v>
      </c>
      <c r="BN22" s="24">
        <f ca="1">SUM(AB$7:AB22)</f>
        <v>0</v>
      </c>
      <c r="BO22" s="46">
        <f ca="1">SUM(AC$7:AC21)</f>
        <v>0</v>
      </c>
      <c r="BP22" s="24">
        <f t="shared" ca="1" si="42"/>
        <v>0</v>
      </c>
      <c r="BR22" s="24">
        <f ca="1">SUM(AH$7:AH22)</f>
        <v>0</v>
      </c>
      <c r="BS22" s="46">
        <f ca="1">SUM(AI$7:AI21)</f>
        <v>0</v>
      </c>
      <c r="BT22" s="24">
        <f t="shared" ca="1" si="43"/>
        <v>0</v>
      </c>
    </row>
    <row r="23" spans="1:72" s="12" customFormat="1">
      <c r="A23" s="202" t="str">
        <f>Kontenplan!C25</f>
        <v>Passivkonto</v>
      </c>
      <c r="B23" s="224">
        <f>Kontenplan!E25</f>
        <v>2800</v>
      </c>
      <c r="C23" s="225" t="str">
        <f>Kontenplan!F25</f>
        <v>Kumulierte Gewinne/Kapital</v>
      </c>
      <c r="D23" s="43">
        <f>IF(B23=0,0,SUMIF(Journal!$F$7:$F$83,Calc!B23,Journal!$I$7:$I$83))</f>
        <v>0</v>
      </c>
      <c r="E23" s="15">
        <f ca="1">IF(B23=0,0,SUMIF(Journal!$G$7:$M97,Calc!B23,Journal!$I$7:$I$83))</f>
        <v>0</v>
      </c>
      <c r="F23" s="44">
        <f t="shared" ca="1" si="7"/>
        <v>0</v>
      </c>
      <c r="G23" s="15">
        <f t="shared" ca="1" si="8"/>
        <v>0</v>
      </c>
      <c r="H23" s="14" t="str">
        <f t="shared" ca="1" si="9"/>
        <v xml:space="preserve"> </v>
      </c>
      <c r="I23" s="43" t="str">
        <f t="shared" ca="1" si="10"/>
        <v xml:space="preserve"> </v>
      </c>
      <c r="J23" s="45" t="str">
        <f t="shared" ca="1" si="11"/>
        <v xml:space="preserve"> </v>
      </c>
      <c r="K23" s="48" t="str">
        <f t="shared" ca="1" si="12"/>
        <v xml:space="preserve"> </v>
      </c>
      <c r="L23" s="45" t="str">
        <f t="shared" ca="1" si="13"/>
        <v xml:space="preserve"> </v>
      </c>
      <c r="M23" s="48" t="str">
        <f t="shared" ca="1" si="14"/>
        <v xml:space="preserve"> </v>
      </c>
      <c r="N23" s="24"/>
      <c r="O23" s="12">
        <f t="shared" si="15"/>
        <v>10.001399999999997</v>
      </c>
      <c r="P23" s="12">
        <f t="shared" si="16"/>
        <v>7</v>
      </c>
      <c r="Q23" s="12">
        <f t="shared" si="17"/>
        <v>3.4000000000000011E-3</v>
      </c>
      <c r="R23" s="12">
        <f t="shared" si="18"/>
        <v>3.4000000000000011E-3</v>
      </c>
      <c r="S23" s="12">
        <f t="shared" si="19"/>
        <v>2800</v>
      </c>
      <c r="T23" s="12" t="str">
        <f t="shared" si="20"/>
        <v>Kumulierte Gewinne/Kapital</v>
      </c>
      <c r="U23" s="43">
        <f ca="1">IF(OR(A23=Kontenplan!$C$3,A23=Kontenplan!$C$5),F23-G23,G23-F23)</f>
        <v>0</v>
      </c>
      <c r="V23" s="171">
        <f t="shared" si="3"/>
        <v>17</v>
      </c>
      <c r="W23" s="12">
        <f t="shared" si="4"/>
        <v>3.0000800000000005</v>
      </c>
      <c r="X23" s="12">
        <f t="shared" si="5"/>
        <v>3.0000200000000001</v>
      </c>
      <c r="Y23" s="12" t="str">
        <f>IF(Z23=0,VLOOKUP(W23,Kontenplan!$Y$9:$AA$551,3),"")</f>
        <v/>
      </c>
      <c r="Z23" s="12">
        <f t="shared" si="21"/>
        <v>3620</v>
      </c>
      <c r="AA23" s="12" t="str">
        <f t="shared" ca="1" si="22"/>
        <v>Wartung Lift</v>
      </c>
      <c r="AB23" s="46">
        <f t="shared" ca="1" si="23"/>
        <v>0</v>
      </c>
      <c r="AC23" s="46" t="str">
        <f t="shared" ca="1" si="24"/>
        <v/>
      </c>
      <c r="AD23" s="47"/>
      <c r="AE23" s="12" t="str">
        <f>IF(AF23=0,VLOOKUP(X23,Kontenplan!$Z$9:$AB$551,3),"")</f>
        <v/>
      </c>
      <c r="AF23" s="47">
        <f t="shared" si="25"/>
        <v>6020</v>
      </c>
      <c r="AG23" s="12" t="str">
        <f t="shared" ca="1" si="26"/>
        <v>NK-Rückzhgen: Partei 2</v>
      </c>
      <c r="AH23" s="46">
        <f t="shared" ca="1" si="27"/>
        <v>0</v>
      </c>
      <c r="AI23" s="46" t="str">
        <f t="shared" ca="1" si="28"/>
        <v/>
      </c>
      <c r="AJ23" s="46"/>
      <c r="AK23" s="147">
        <f t="shared" ca="1" si="29"/>
        <v>2.0007000000000015</v>
      </c>
      <c r="AL23" s="147">
        <f t="shared" si="30"/>
        <v>2.0010000000000021</v>
      </c>
      <c r="AM23" s="12" t="str">
        <f>IF(V23&lt;=AO$3,VLOOKUP(V23,Kontenplan!$A$9:$D$278,4),"")</f>
        <v/>
      </c>
      <c r="AN23" s="12">
        <f t="shared" si="31"/>
        <v>0</v>
      </c>
      <c r="AO23" s="12" t="str">
        <f t="shared" ca="1" si="32"/>
        <v/>
      </c>
      <c r="AP23" s="46" t="str">
        <f t="shared" ca="1" si="33"/>
        <v/>
      </c>
      <c r="AQ23" s="46" t="str">
        <f t="shared" ca="1" si="34"/>
        <v/>
      </c>
      <c r="AR23" s="46"/>
      <c r="AS23" s="147">
        <f t="shared" ca="1" si="35"/>
        <v>3.0006000000000013</v>
      </c>
      <c r="AT23" s="147">
        <f t="shared" si="36"/>
        <v>2.0011000000000023</v>
      </c>
      <c r="AU23" s="47" t="str">
        <f>IF(V23&lt;=AW$3,VLOOKUP(AO$3+V23,Kontenplan!$A$9:$D$278,4),"")</f>
        <v/>
      </c>
      <c r="AV23" s="12">
        <f t="shared" si="37"/>
        <v>0</v>
      </c>
      <c r="AW23" s="12" t="str">
        <f t="shared" ca="1" si="38"/>
        <v/>
      </c>
      <c r="AX23" s="46" t="str">
        <f t="shared" ca="1" si="6"/>
        <v/>
      </c>
      <c r="AY23" s="46" t="str">
        <f t="shared" ca="1" si="39"/>
        <v/>
      </c>
      <c r="BA23" s="12">
        <f>Kontenplan!R25</f>
        <v>3</v>
      </c>
      <c r="BB23" s="12">
        <f>Kontenplan!S25</f>
        <v>2</v>
      </c>
      <c r="BC23" s="12">
        <f>Kontenplan!T25</f>
        <v>0</v>
      </c>
      <c r="BD23" s="170">
        <f>Kontenplan!U25</f>
        <v>0</v>
      </c>
      <c r="BF23" s="24">
        <f ca="1">SUM(AP$7:AP23)</f>
        <v>0</v>
      </c>
      <c r="BG23" s="46">
        <f ca="1">SUM(AQ$7:AQ22)</f>
        <v>0</v>
      </c>
      <c r="BH23" s="24">
        <f t="shared" ca="1" si="40"/>
        <v>0</v>
      </c>
      <c r="BI23" s="24"/>
      <c r="BJ23" s="24">
        <f ca="1">SUM(AX$7:AX23)</f>
        <v>0</v>
      </c>
      <c r="BK23" s="24">
        <f ca="1">SUM(AY$7:AY22)</f>
        <v>0</v>
      </c>
      <c r="BL23" s="24">
        <f t="shared" ca="1" si="41"/>
        <v>0</v>
      </c>
      <c r="BN23" s="24">
        <f ca="1">SUM(AB$7:AB23)</f>
        <v>0</v>
      </c>
      <c r="BO23" s="46">
        <f ca="1">SUM(AC$7:AC22)</f>
        <v>0</v>
      </c>
      <c r="BP23" s="24">
        <f t="shared" ca="1" si="42"/>
        <v>0</v>
      </c>
      <c r="BR23" s="24">
        <f ca="1">SUM(AH$7:AH23)</f>
        <v>0</v>
      </c>
      <c r="BS23" s="46">
        <f ca="1">SUM(AI$7:AI22)</f>
        <v>0</v>
      </c>
      <c r="BT23" s="24">
        <f t="shared" ca="1" si="43"/>
        <v>0</v>
      </c>
    </row>
    <row r="24" spans="1:72" s="12" customFormat="1">
      <c r="A24" s="202" t="str">
        <f>Kontenplan!C26</f>
        <v>Passivkonto</v>
      </c>
      <c r="B24" s="224">
        <f>Kontenplan!E26</f>
        <v>2900</v>
      </c>
      <c r="C24" s="225" t="str">
        <f>Kontenplan!F26</f>
        <v>Reserven</v>
      </c>
      <c r="D24" s="43">
        <f>IF(B24=0,0,SUMIF(Journal!$F$7:$F$83,Calc!B24,Journal!$I$7:$I$83))</f>
        <v>0</v>
      </c>
      <c r="E24" s="15">
        <f ca="1">IF(B24=0,0,SUMIF(Journal!$G$7:$M98,Calc!B24,Journal!$I$7:$I$83))</f>
        <v>0</v>
      </c>
      <c r="F24" s="44">
        <f t="shared" ca="1" si="7"/>
        <v>0</v>
      </c>
      <c r="G24" s="15">
        <f t="shared" ca="1" si="8"/>
        <v>0</v>
      </c>
      <c r="H24" s="14" t="str">
        <f t="shared" ca="1" si="9"/>
        <v xml:space="preserve"> </v>
      </c>
      <c r="I24" s="43" t="str">
        <f t="shared" ca="1" si="10"/>
        <v xml:space="preserve"> </v>
      </c>
      <c r="J24" s="45" t="str">
        <f t="shared" ca="1" si="11"/>
        <v xml:space="preserve"> </v>
      </c>
      <c r="K24" s="48" t="str">
        <f t="shared" ca="1" si="12"/>
        <v xml:space="preserve"> </v>
      </c>
      <c r="L24" s="45" t="str">
        <f t="shared" ca="1" si="13"/>
        <v xml:space="preserve"> </v>
      </c>
      <c r="M24" s="48" t="str">
        <f t="shared" ca="1" si="14"/>
        <v xml:space="preserve"> </v>
      </c>
      <c r="N24" s="24"/>
      <c r="O24" s="12">
        <f t="shared" si="15"/>
        <v>10.001599999999996</v>
      </c>
      <c r="P24" s="12">
        <f t="shared" si="16"/>
        <v>8</v>
      </c>
      <c r="Q24" s="12">
        <f t="shared" si="17"/>
        <v>3.6000000000000012E-3</v>
      </c>
      <c r="R24" s="12">
        <f t="shared" si="18"/>
        <v>3.6000000000000012E-3</v>
      </c>
      <c r="S24" s="12">
        <f t="shared" si="19"/>
        <v>2900</v>
      </c>
      <c r="T24" s="12" t="str">
        <f t="shared" si="20"/>
        <v>Reserven</v>
      </c>
      <c r="U24" s="43">
        <f ca="1">IF(OR(A24=Kontenplan!$C$3,A24=Kontenplan!$C$5),F24-G24,G24-F24)</f>
        <v>0</v>
      </c>
      <c r="V24" s="171">
        <f t="shared" si="3"/>
        <v>18</v>
      </c>
      <c r="W24" s="12">
        <f t="shared" si="4"/>
        <v>3.0000900000000006</v>
      </c>
      <c r="X24" s="12">
        <f t="shared" si="5"/>
        <v>3.0000300000000002</v>
      </c>
      <c r="Y24" s="12" t="str">
        <f>IF(Z24=0,VLOOKUP(W24,Kontenplan!$Y$9:$AA$551,3),"")</f>
        <v/>
      </c>
      <c r="Z24" s="12">
        <f t="shared" si="21"/>
        <v>3640</v>
      </c>
      <c r="AA24" s="12" t="str">
        <f t="shared" ca="1" si="22"/>
        <v>Wartung Lüftung</v>
      </c>
      <c r="AB24" s="46">
        <f t="shared" ca="1" si="23"/>
        <v>0</v>
      </c>
      <c r="AC24" s="46" t="str">
        <f t="shared" ca="1" si="24"/>
        <v/>
      </c>
      <c r="AD24" s="47"/>
      <c r="AE24" s="12" t="str">
        <f>IF(AF24=0,VLOOKUP(X24,Kontenplan!$Z$9:$AB$551,3),"")</f>
        <v/>
      </c>
      <c r="AF24" s="47">
        <f t="shared" si="25"/>
        <v>6030</v>
      </c>
      <c r="AG24" s="12" t="str">
        <f t="shared" ca="1" si="26"/>
        <v>NK-Rückzhgen: Partei 3</v>
      </c>
      <c r="AH24" s="46">
        <f t="shared" ca="1" si="27"/>
        <v>0</v>
      </c>
      <c r="AI24" s="46" t="str">
        <f t="shared" ca="1" si="28"/>
        <v/>
      </c>
      <c r="AJ24" s="46"/>
      <c r="AK24" s="147">
        <f t="shared" ca="1" si="29"/>
        <v>2.0008000000000017</v>
      </c>
      <c r="AL24" s="147">
        <f t="shared" si="30"/>
        <v>2.0011000000000023</v>
      </c>
      <c r="AM24" s="12" t="str">
        <f>IF(V24&lt;=AO$3,VLOOKUP(V24,Kontenplan!$A$9:$D$278,4),"")</f>
        <v/>
      </c>
      <c r="AN24" s="12">
        <f t="shared" si="31"/>
        <v>0</v>
      </c>
      <c r="AO24" s="12" t="str">
        <f t="shared" ca="1" si="32"/>
        <v/>
      </c>
      <c r="AP24" s="46" t="str">
        <f t="shared" ca="1" si="33"/>
        <v/>
      </c>
      <c r="AQ24" s="46" t="str">
        <f t="shared" ca="1" si="34"/>
        <v/>
      </c>
      <c r="AR24" s="46"/>
      <c r="AS24" s="147">
        <f t="shared" ca="1" si="35"/>
        <v>3.0007000000000015</v>
      </c>
      <c r="AT24" s="147">
        <f t="shared" si="36"/>
        <v>2.0012000000000025</v>
      </c>
      <c r="AU24" s="47" t="str">
        <f>IF(V24&lt;=AW$3,VLOOKUP(AO$3+V24,Kontenplan!$A$9:$D$278,4),"")</f>
        <v/>
      </c>
      <c r="AV24" s="12">
        <f t="shared" si="37"/>
        <v>0</v>
      </c>
      <c r="AW24" s="12" t="str">
        <f t="shared" ca="1" si="38"/>
        <v/>
      </c>
      <c r="AX24" s="46" t="str">
        <f t="shared" ca="1" si="6"/>
        <v/>
      </c>
      <c r="AY24" s="46" t="str">
        <f t="shared" ca="1" si="39"/>
        <v/>
      </c>
      <c r="BA24" s="12">
        <f>Kontenplan!R26</f>
        <v>3</v>
      </c>
      <c r="BB24" s="12">
        <f>Kontenplan!S26</f>
        <v>2</v>
      </c>
      <c r="BC24" s="12">
        <f>Kontenplan!T26</f>
        <v>0</v>
      </c>
      <c r="BD24" s="170">
        <f>Kontenplan!U26</f>
        <v>0</v>
      </c>
      <c r="BF24" s="24">
        <f ca="1">SUM(AP$7:AP24)</f>
        <v>0</v>
      </c>
      <c r="BG24" s="46">
        <f ca="1">SUM(AQ$7:AQ23)</f>
        <v>0</v>
      </c>
      <c r="BH24" s="24">
        <f t="shared" ca="1" si="40"/>
        <v>0</v>
      </c>
      <c r="BI24" s="24"/>
      <c r="BJ24" s="24">
        <f ca="1">SUM(AX$7:AX24)</f>
        <v>0</v>
      </c>
      <c r="BK24" s="24">
        <f ca="1">SUM(AY$7:AY23)</f>
        <v>0</v>
      </c>
      <c r="BL24" s="24">
        <f t="shared" ca="1" si="41"/>
        <v>0</v>
      </c>
      <c r="BN24" s="24">
        <f ca="1">SUM(AB$7:AB24)</f>
        <v>0</v>
      </c>
      <c r="BO24" s="46">
        <f ca="1">SUM(AC$7:AC23)</f>
        <v>0</v>
      </c>
      <c r="BP24" s="24">
        <f t="shared" ca="1" si="42"/>
        <v>0</v>
      </c>
      <c r="BR24" s="24">
        <f ca="1">SUM(AH$7:AH24)</f>
        <v>0</v>
      </c>
      <c r="BS24" s="46">
        <f ca="1">SUM(AI$7:AI23)</f>
        <v>0</v>
      </c>
      <c r="BT24" s="24">
        <f t="shared" ca="1" si="43"/>
        <v>0</v>
      </c>
    </row>
    <row r="25" spans="1:72" s="12" customFormat="1">
      <c r="A25" s="202" t="str">
        <f>Kontenplan!C27</f>
        <v>Passivkonto</v>
      </c>
      <c r="B25" s="224">
        <f>Kontenplan!E27</f>
        <v>2990</v>
      </c>
      <c r="C25" s="225" t="str">
        <f>Kontenplan!F27</f>
        <v>Gewinnvortrag / Verlustvortrag</v>
      </c>
      <c r="D25" s="43">
        <f>IF(B25=0,0,SUMIF(Journal!$F$7:$F$83,Calc!B25,Journal!$I$7:$I$83))</f>
        <v>0</v>
      </c>
      <c r="E25" s="15">
        <f ca="1">IF(B25=0,0,SUMIF(Journal!$G$7:$M99,Calc!B25,Journal!$I$7:$I$83))</f>
        <v>0</v>
      </c>
      <c r="F25" s="44">
        <f t="shared" ca="1" si="7"/>
        <v>0</v>
      </c>
      <c r="G25" s="15">
        <f t="shared" ca="1" si="8"/>
        <v>0</v>
      </c>
      <c r="H25" s="14" t="str">
        <f t="shared" ca="1" si="9"/>
        <v xml:space="preserve"> </v>
      </c>
      <c r="I25" s="43" t="str">
        <f t="shared" ca="1" si="10"/>
        <v xml:space="preserve"> </v>
      </c>
      <c r="J25" s="45" t="str">
        <f t="shared" ca="1" si="11"/>
        <v xml:space="preserve"> </v>
      </c>
      <c r="K25" s="48" t="str">
        <f t="shared" ca="1" si="12"/>
        <v xml:space="preserve"> </v>
      </c>
      <c r="L25" s="45" t="str">
        <f t="shared" ca="1" si="13"/>
        <v xml:space="preserve"> </v>
      </c>
      <c r="M25" s="48" t="str">
        <f t="shared" ca="1" si="14"/>
        <v xml:space="preserve"> </v>
      </c>
      <c r="N25" s="24"/>
      <c r="O25" s="12">
        <f t="shared" si="15"/>
        <v>10.001799999999996</v>
      </c>
      <c r="P25" s="12">
        <f t="shared" si="16"/>
        <v>9</v>
      </c>
      <c r="Q25" s="12">
        <f t="shared" si="17"/>
        <v>3.8000000000000013E-3</v>
      </c>
      <c r="R25" s="12">
        <f t="shared" si="18"/>
        <v>3.8000000000000013E-3</v>
      </c>
      <c r="S25" s="12">
        <f t="shared" si="19"/>
        <v>2990</v>
      </c>
      <c r="T25" s="12" t="str">
        <f t="shared" si="20"/>
        <v>Gewinnvortrag / Verlustvortrag</v>
      </c>
      <c r="U25" s="43">
        <f ca="1">IF(OR(A25=Kontenplan!$C$3,A25=Kontenplan!$C$5),F25-G25,G25-F25)</f>
        <v>0</v>
      </c>
      <c r="V25" s="171">
        <f t="shared" si="3"/>
        <v>19</v>
      </c>
      <c r="W25" s="12">
        <f t="shared" si="4"/>
        <v>3.0001000000000007</v>
      </c>
      <c r="X25" s="12">
        <f t="shared" si="5"/>
        <v>3.0000400000000003</v>
      </c>
      <c r="Y25" s="12" t="str">
        <f>IF(Z25=0,VLOOKUP(W25,Kontenplan!$Y$9:$AA$551,3),"")</f>
        <v/>
      </c>
      <c r="Z25" s="12">
        <f t="shared" si="21"/>
        <v>3660</v>
      </c>
      <c r="AA25" s="12" t="str">
        <f t="shared" ca="1" si="22"/>
        <v>Wartung Flachdach</v>
      </c>
      <c r="AB25" s="46">
        <f t="shared" ca="1" si="23"/>
        <v>0</v>
      </c>
      <c r="AC25" s="46" t="str">
        <f t="shared" ca="1" si="24"/>
        <v/>
      </c>
      <c r="AD25" s="47"/>
      <c r="AE25" s="12" t="str">
        <f>IF(AF25=0,VLOOKUP(X25,Kontenplan!$Z$9:$AB$551,3),"")</f>
        <v/>
      </c>
      <c r="AF25" s="47">
        <f t="shared" si="25"/>
        <v>6040</v>
      </c>
      <c r="AG25" s="12" t="str">
        <f t="shared" ca="1" si="26"/>
        <v>NK-Rückzhgen: Partei 4</v>
      </c>
      <c r="AH25" s="46">
        <f t="shared" ca="1" si="27"/>
        <v>0</v>
      </c>
      <c r="AI25" s="46" t="str">
        <f t="shared" ca="1" si="28"/>
        <v/>
      </c>
      <c r="AJ25" s="46"/>
      <c r="AK25" s="147">
        <f t="shared" ca="1" si="29"/>
        <v>2.0009000000000019</v>
      </c>
      <c r="AL25" s="147">
        <f t="shared" si="30"/>
        <v>2.0012000000000025</v>
      </c>
      <c r="AM25" s="12" t="str">
        <f>IF(V25&lt;=AO$3,VLOOKUP(V25,Kontenplan!$A$9:$D$278,4),"")</f>
        <v/>
      </c>
      <c r="AN25" s="12">
        <f t="shared" si="31"/>
        <v>0</v>
      </c>
      <c r="AO25" s="12" t="str">
        <f t="shared" ca="1" si="32"/>
        <v/>
      </c>
      <c r="AP25" s="46" t="str">
        <f t="shared" ca="1" si="33"/>
        <v/>
      </c>
      <c r="AQ25" s="46" t="str">
        <f t="shared" ca="1" si="34"/>
        <v/>
      </c>
      <c r="AR25" s="46"/>
      <c r="AS25" s="147">
        <f t="shared" ca="1" si="35"/>
        <v>3.0008000000000017</v>
      </c>
      <c r="AT25" s="147">
        <f t="shared" si="36"/>
        <v>2.0013000000000027</v>
      </c>
      <c r="AU25" s="47" t="str">
        <f>IF(V25&lt;=AW$3,VLOOKUP(AO$3+V25,Kontenplan!$A$9:$D$278,4),"")</f>
        <v/>
      </c>
      <c r="AV25" s="12">
        <f t="shared" si="37"/>
        <v>0</v>
      </c>
      <c r="AW25" s="12" t="str">
        <f t="shared" ca="1" si="38"/>
        <v/>
      </c>
      <c r="AX25" s="46" t="str">
        <f t="shared" ca="1" si="6"/>
        <v/>
      </c>
      <c r="AY25" s="46" t="str">
        <f t="shared" ca="1" si="39"/>
        <v/>
      </c>
      <c r="BA25" s="12">
        <f>Kontenplan!R27</f>
        <v>3</v>
      </c>
      <c r="BB25" s="12">
        <f>Kontenplan!S27</f>
        <v>2</v>
      </c>
      <c r="BC25" s="12">
        <f>Kontenplan!T27</f>
        <v>0</v>
      </c>
      <c r="BD25" s="170">
        <f>Kontenplan!U27</f>
        <v>0</v>
      </c>
      <c r="BF25" s="24">
        <f ca="1">SUM(AP$7:AP25)</f>
        <v>0</v>
      </c>
      <c r="BG25" s="46">
        <f ca="1">SUM(AQ$7:AQ24)</f>
        <v>0</v>
      </c>
      <c r="BH25" s="24">
        <f t="shared" ca="1" si="40"/>
        <v>0</v>
      </c>
      <c r="BI25" s="24"/>
      <c r="BJ25" s="24">
        <f ca="1">SUM(AX$7:AX25)</f>
        <v>0</v>
      </c>
      <c r="BK25" s="24">
        <f ca="1">SUM(AY$7:AY24)</f>
        <v>0</v>
      </c>
      <c r="BL25" s="24">
        <f t="shared" ca="1" si="41"/>
        <v>0</v>
      </c>
      <c r="BN25" s="24">
        <f ca="1">SUM(AB$7:AB25)</f>
        <v>0</v>
      </c>
      <c r="BO25" s="46">
        <f ca="1">SUM(AC$7:AC24)</f>
        <v>0</v>
      </c>
      <c r="BP25" s="24">
        <f t="shared" ca="1" si="42"/>
        <v>0</v>
      </c>
      <c r="BR25" s="24">
        <f ca="1">SUM(AH$7:AH25)</f>
        <v>0</v>
      </c>
      <c r="BS25" s="46">
        <f ca="1">SUM(AI$7:AI24)</f>
        <v>0</v>
      </c>
      <c r="BT25" s="24">
        <f t="shared" ca="1" si="43"/>
        <v>0</v>
      </c>
    </row>
    <row r="26" spans="1:72" s="12" customFormat="1">
      <c r="A26" s="202">
        <f>Kontenplan!C28</f>
        <v>0</v>
      </c>
      <c r="B26" s="224">
        <f>Kontenplan!E28</f>
        <v>0</v>
      </c>
      <c r="C26" s="225">
        <f>Kontenplan!F28</f>
        <v>0</v>
      </c>
      <c r="D26" s="43">
        <f>IF(B26=0,0,SUMIF(Journal!$F$7:$F$83,Calc!B26,Journal!$I$7:$I$83))</f>
        <v>0</v>
      </c>
      <c r="E26" s="15">
        <f>IF(B26=0,0,SUMIF(Journal!$G$7:$M100,Calc!B26,Journal!$I$7:$I$83))</f>
        <v>0</v>
      </c>
      <c r="F26" s="44">
        <f t="shared" si="7"/>
        <v>0</v>
      </c>
      <c r="G26" s="15">
        <f t="shared" si="8"/>
        <v>0</v>
      </c>
      <c r="H26" s="14" t="str">
        <f t="shared" si="9"/>
        <v xml:space="preserve"> </v>
      </c>
      <c r="I26" s="43" t="str">
        <f t="shared" si="10"/>
        <v xml:space="preserve"> </v>
      </c>
      <c r="J26" s="45" t="str">
        <f t="shared" si="11"/>
        <v xml:space="preserve"> </v>
      </c>
      <c r="K26" s="48" t="str">
        <f t="shared" si="12"/>
        <v xml:space="preserve"> </v>
      </c>
      <c r="L26" s="45" t="str">
        <f t="shared" si="13"/>
        <v xml:space="preserve"> </v>
      </c>
      <c r="M26" s="48" t="str">
        <f t="shared" si="14"/>
        <v xml:space="preserve"> </v>
      </c>
      <c r="N26" s="24"/>
      <c r="O26" s="12">
        <f t="shared" si="15"/>
        <v>10.001999999999995</v>
      </c>
      <c r="P26" s="12">
        <f t="shared" si="16"/>
        <v>9.0001999999999995</v>
      </c>
      <c r="Q26" s="12">
        <f t="shared" si="17"/>
        <v>1</v>
      </c>
      <c r="R26" s="12">
        <f t="shared" si="18"/>
        <v>4.000000000000001E-3</v>
      </c>
      <c r="S26" s="12">
        <f t="shared" si="19"/>
        <v>0</v>
      </c>
      <c r="T26" s="12">
        <f t="shared" si="20"/>
        <v>0</v>
      </c>
      <c r="U26" s="43">
        <f>IF(OR(A26=Kontenplan!$C$3,A26=Kontenplan!$C$5),F26-G26,G26-F26)</f>
        <v>0</v>
      </c>
      <c r="V26" s="171">
        <f t="shared" si="3"/>
        <v>20</v>
      </c>
      <c r="W26" s="12">
        <f t="shared" si="4"/>
        <v>3.0001100000000007</v>
      </c>
      <c r="X26" s="12">
        <f t="shared" si="5"/>
        <v>3.0000500000000003</v>
      </c>
      <c r="Y26" s="12" t="str">
        <f>IF(Z26=0,VLOOKUP(W26,Kontenplan!$Y$9:$AA$551,3),"")</f>
        <v/>
      </c>
      <c r="Z26" s="12">
        <f t="shared" si="21"/>
        <v>3680</v>
      </c>
      <c r="AA26" s="12" t="str">
        <f t="shared" ca="1" si="22"/>
        <v>Wartung div.</v>
      </c>
      <c r="AB26" s="46">
        <f t="shared" ca="1" si="23"/>
        <v>0</v>
      </c>
      <c r="AC26" s="46" t="str">
        <f t="shared" ca="1" si="24"/>
        <v/>
      </c>
      <c r="AD26" s="47"/>
      <c r="AE26" s="12" t="str">
        <f>IF(AF26=0,VLOOKUP(X26,Kontenplan!$Z$9:$AB$551,3),"")</f>
        <v/>
      </c>
      <c r="AF26" s="47">
        <f t="shared" si="25"/>
        <v>6050</v>
      </c>
      <c r="AG26" s="12" t="str">
        <f t="shared" ca="1" si="26"/>
        <v>NK-Rückzhgen: Partei 5</v>
      </c>
      <c r="AH26" s="46">
        <f t="shared" ca="1" si="27"/>
        <v>0</v>
      </c>
      <c r="AI26" s="46" t="str">
        <f t="shared" ca="1" si="28"/>
        <v/>
      </c>
      <c r="AJ26" s="46"/>
      <c r="AK26" s="147">
        <f t="shared" ca="1" si="29"/>
        <v>2.0010000000000021</v>
      </c>
      <c r="AL26" s="147">
        <f t="shared" si="30"/>
        <v>2.0013000000000027</v>
      </c>
      <c r="AM26" s="12" t="str">
        <f>IF(V26&lt;=AO$3,VLOOKUP(V26,Kontenplan!$A$9:$D$278,4),"")</f>
        <v/>
      </c>
      <c r="AN26" s="12">
        <f t="shared" si="31"/>
        <v>0</v>
      </c>
      <c r="AO26" s="12" t="str">
        <f t="shared" ca="1" si="32"/>
        <v/>
      </c>
      <c r="AP26" s="46" t="str">
        <f t="shared" ca="1" si="33"/>
        <v/>
      </c>
      <c r="AQ26" s="46" t="str">
        <f t="shared" ca="1" si="34"/>
        <v/>
      </c>
      <c r="AR26" s="46"/>
      <c r="AS26" s="147">
        <f t="shared" ca="1" si="35"/>
        <v>3.0009000000000019</v>
      </c>
      <c r="AT26" s="147">
        <f t="shared" si="36"/>
        <v>2.001400000000003</v>
      </c>
      <c r="AU26" s="47" t="str">
        <f>IF(V26&lt;=AW$3,VLOOKUP(AO$3+V26,Kontenplan!$A$9:$D$278,4),"")</f>
        <v/>
      </c>
      <c r="AV26" s="12">
        <f t="shared" si="37"/>
        <v>0</v>
      </c>
      <c r="AW26" s="12" t="str">
        <f t="shared" ca="1" si="38"/>
        <v/>
      </c>
      <c r="AX26" s="46" t="str">
        <f t="shared" ca="1" si="6"/>
        <v/>
      </c>
      <c r="AY26" s="46" t="str">
        <f t="shared" ca="1" si="39"/>
        <v/>
      </c>
      <c r="BA26" s="12">
        <f>Kontenplan!R28</f>
        <v>3</v>
      </c>
      <c r="BB26" s="12">
        <f>Kontenplan!S28</f>
        <v>2</v>
      </c>
      <c r="BC26" s="12">
        <f>Kontenplan!T28</f>
        <v>1</v>
      </c>
      <c r="BD26" s="170">
        <f>Kontenplan!U28</f>
        <v>0</v>
      </c>
      <c r="BF26" s="24">
        <f ca="1">SUM(AP$7:AP26)</f>
        <v>0</v>
      </c>
      <c r="BG26" s="46">
        <f ca="1">SUM(AQ$7:AQ25)</f>
        <v>0</v>
      </c>
      <c r="BH26" s="24">
        <f t="shared" ca="1" si="40"/>
        <v>0</v>
      </c>
      <c r="BI26" s="24"/>
      <c r="BJ26" s="24">
        <f ca="1">SUM(AX$7:AX26)</f>
        <v>0</v>
      </c>
      <c r="BK26" s="24">
        <f ca="1">SUM(AY$7:AY25)</f>
        <v>0</v>
      </c>
      <c r="BL26" s="24">
        <f t="shared" ca="1" si="41"/>
        <v>0</v>
      </c>
      <c r="BN26" s="24">
        <f ca="1">SUM(AB$7:AB26)</f>
        <v>0</v>
      </c>
      <c r="BO26" s="46">
        <f ca="1">SUM(AC$7:AC25)</f>
        <v>0</v>
      </c>
      <c r="BP26" s="24">
        <f t="shared" ca="1" si="42"/>
        <v>0</v>
      </c>
      <c r="BR26" s="24">
        <f ca="1">SUM(AH$7:AH26)</f>
        <v>0</v>
      </c>
      <c r="BS26" s="46">
        <f ca="1">SUM(AI$7:AI25)</f>
        <v>0</v>
      </c>
      <c r="BT26" s="24">
        <f t="shared" ca="1" si="43"/>
        <v>0</v>
      </c>
    </row>
    <row r="27" spans="1:72" s="12" customFormat="1">
      <c r="A27" s="202" t="str">
        <f>Kontenplan!C29</f>
        <v>Aufwandskonto</v>
      </c>
      <c r="B27" s="224">
        <f>Kontenplan!E29</f>
        <v>3000</v>
      </c>
      <c r="C27" s="225" t="str">
        <f>Kontenplan!F29</f>
        <v xml:space="preserve">Heizung: Strom </v>
      </c>
      <c r="D27" s="43">
        <f>IF(B27=0,0,SUMIF(Journal!$F$7:$F$83,Calc!B27,Journal!$I$7:$I$83))</f>
        <v>0</v>
      </c>
      <c r="E27" s="15">
        <f ca="1">IF(B27=0,0,SUMIF(Journal!$G$7:$M101,Calc!B27,Journal!$I$7:$I$83))</f>
        <v>0</v>
      </c>
      <c r="F27" s="44">
        <f t="shared" ca="1" si="7"/>
        <v>0</v>
      </c>
      <c r="G27" s="15">
        <f t="shared" ca="1" si="8"/>
        <v>0</v>
      </c>
      <c r="H27" s="14" t="str">
        <f t="shared" ca="1" si="9"/>
        <v xml:space="preserve"> </v>
      </c>
      <c r="I27" s="43" t="str">
        <f t="shared" ca="1" si="10"/>
        <v xml:space="preserve"> </v>
      </c>
      <c r="J27" s="45" t="str">
        <f t="shared" ca="1" si="11"/>
        <v xml:space="preserve"> </v>
      </c>
      <c r="K27" s="48" t="str">
        <f t="shared" ca="1" si="12"/>
        <v xml:space="preserve"> </v>
      </c>
      <c r="L27" s="45" t="str">
        <f t="shared" ca="1" si="13"/>
        <v xml:space="preserve"> </v>
      </c>
      <c r="M27" s="48" t="str">
        <f t="shared" ca="1" si="14"/>
        <v xml:space="preserve"> </v>
      </c>
      <c r="N27" s="24"/>
      <c r="O27" s="12">
        <f t="shared" si="15"/>
        <v>10.002199999999995</v>
      </c>
      <c r="P27" s="12">
        <f t="shared" si="16"/>
        <v>9.0003999999999991</v>
      </c>
      <c r="Q27" s="12">
        <f t="shared" si="17"/>
        <v>2</v>
      </c>
      <c r="R27" s="12">
        <f t="shared" si="18"/>
        <v>4.2000000000000006E-3</v>
      </c>
      <c r="S27" s="12">
        <f t="shared" si="19"/>
        <v>3000</v>
      </c>
      <c r="T27" s="12" t="str">
        <f t="shared" si="20"/>
        <v xml:space="preserve">Heizung: Strom </v>
      </c>
      <c r="U27" s="43">
        <f ca="1">IF(OR(A27=Kontenplan!$C$3,A27=Kontenplan!$C$5),F27-G27,G27-F27)</f>
        <v>0</v>
      </c>
      <c r="V27" s="171">
        <f t="shared" si="3"/>
        <v>21</v>
      </c>
      <c r="W27" s="12">
        <f t="shared" si="4"/>
        <v>3.0001200000000008</v>
      </c>
      <c r="X27" s="12">
        <f t="shared" si="5"/>
        <v>3.0000600000000004</v>
      </c>
      <c r="Y27" s="12" t="str">
        <f>IF(Z27=0,VLOOKUP(W27,Kontenplan!$Y$9:$AA$551,3),"")</f>
        <v/>
      </c>
      <c r="Z27" s="12">
        <f t="shared" si="21"/>
        <v>3700</v>
      </c>
      <c r="AA27" s="12" t="str">
        <f t="shared" ca="1" si="22"/>
        <v>Reinigungsmittel (Hauswart)</v>
      </c>
      <c r="AB27" s="46">
        <f t="shared" ca="1" si="23"/>
        <v>0</v>
      </c>
      <c r="AC27" s="46" t="str">
        <f t="shared" ca="1" si="24"/>
        <v/>
      </c>
      <c r="AD27" s="47"/>
      <c r="AE27" s="12" t="str">
        <f>IF(AF27=0,VLOOKUP(X27,Kontenplan!$Z$9:$AB$551,3),"")</f>
        <v/>
      </c>
      <c r="AF27" s="47">
        <f t="shared" si="25"/>
        <v>6060</v>
      </c>
      <c r="AG27" s="12" t="str">
        <f t="shared" ca="1" si="26"/>
        <v>NK-Rückzhgen: Partei 6</v>
      </c>
      <c r="AH27" s="46">
        <f t="shared" ca="1" si="27"/>
        <v>0</v>
      </c>
      <c r="AI27" s="46" t="str">
        <f t="shared" ca="1" si="28"/>
        <v/>
      </c>
      <c r="AJ27" s="46"/>
      <c r="AK27" s="147">
        <f t="shared" ca="1" si="29"/>
        <v>2.0011000000000023</v>
      </c>
      <c r="AL27" s="147">
        <f t="shared" si="30"/>
        <v>2.001400000000003</v>
      </c>
      <c r="AM27" s="12" t="str">
        <f>IF(V27&lt;=AO$3,VLOOKUP(V27,Kontenplan!$A$9:$D$278,4),"")</f>
        <v/>
      </c>
      <c r="AN27" s="12">
        <f t="shared" si="31"/>
        <v>0</v>
      </c>
      <c r="AO27" s="12" t="str">
        <f t="shared" ca="1" si="32"/>
        <v/>
      </c>
      <c r="AP27" s="46" t="str">
        <f t="shared" ca="1" si="33"/>
        <v/>
      </c>
      <c r="AQ27" s="46" t="str">
        <f t="shared" ca="1" si="34"/>
        <v/>
      </c>
      <c r="AR27" s="46"/>
      <c r="AS27" s="147">
        <f t="shared" ca="1" si="35"/>
        <v>3.0010000000000021</v>
      </c>
      <c r="AT27" s="147">
        <f t="shared" si="36"/>
        <v>2.0015000000000032</v>
      </c>
      <c r="AU27" s="47" t="str">
        <f>IF(V27&lt;=AW$3,VLOOKUP(AO$3+V27,Kontenplan!$A$9:$D$278,4),"")</f>
        <v/>
      </c>
      <c r="AV27" s="12">
        <f t="shared" si="37"/>
        <v>0</v>
      </c>
      <c r="AW27" s="12" t="str">
        <f t="shared" ca="1" si="38"/>
        <v/>
      </c>
      <c r="AX27" s="46" t="str">
        <f t="shared" ca="1" si="6"/>
        <v/>
      </c>
      <c r="AY27" s="46" t="str">
        <f t="shared" ca="1" si="39"/>
        <v/>
      </c>
      <c r="BA27" s="12">
        <f>Kontenplan!R29</f>
        <v>3</v>
      </c>
      <c r="BB27" s="12">
        <f>Kontenplan!S29</f>
        <v>2</v>
      </c>
      <c r="BC27" s="12">
        <f>Kontenplan!T29</f>
        <v>1</v>
      </c>
      <c r="BD27" s="170">
        <f>Kontenplan!U29</f>
        <v>0</v>
      </c>
      <c r="BF27" s="24">
        <f ca="1">SUM(AP$7:AP27)</f>
        <v>0</v>
      </c>
      <c r="BG27" s="46">
        <f ca="1">SUM(AQ$7:AQ26)</f>
        <v>0</v>
      </c>
      <c r="BH27" s="24">
        <f t="shared" ca="1" si="40"/>
        <v>0</v>
      </c>
      <c r="BI27" s="24"/>
      <c r="BJ27" s="24">
        <f ca="1">SUM(AX$7:AX27)</f>
        <v>0</v>
      </c>
      <c r="BK27" s="24">
        <f ca="1">SUM(AY$7:AY26)</f>
        <v>0</v>
      </c>
      <c r="BL27" s="24">
        <f t="shared" ca="1" si="41"/>
        <v>0</v>
      </c>
      <c r="BN27" s="24">
        <f ca="1">SUM(AB$7:AB27)</f>
        <v>0</v>
      </c>
      <c r="BO27" s="46">
        <f ca="1">SUM(AC$7:AC26)</f>
        <v>0</v>
      </c>
      <c r="BP27" s="24">
        <f t="shared" ca="1" si="42"/>
        <v>0</v>
      </c>
      <c r="BR27" s="24">
        <f ca="1">SUM(AH$7:AH27)</f>
        <v>0</v>
      </c>
      <c r="BS27" s="46">
        <f ca="1">SUM(AI$7:AI26)</f>
        <v>0</v>
      </c>
      <c r="BT27" s="24">
        <f t="shared" ca="1" si="43"/>
        <v>0</v>
      </c>
    </row>
    <row r="28" spans="1:72" s="12" customFormat="1">
      <c r="A28" s="202" t="str">
        <f>Kontenplan!C30</f>
        <v>Aufwandskonto</v>
      </c>
      <c r="B28" s="224">
        <f>Kontenplan!E30</f>
        <v>3020</v>
      </c>
      <c r="C28" s="225" t="str">
        <f>Kontenplan!F30</f>
        <v>Aufwand 2 nach Verbrauch</v>
      </c>
      <c r="D28" s="43">
        <f>IF(B28=0,0,SUMIF(Journal!$F$7:$F$83,Calc!B28,Journal!$I$7:$I$83))</f>
        <v>0</v>
      </c>
      <c r="E28" s="15">
        <f ca="1">IF(B28=0,0,SUMIF(Journal!$G$7:$M102,Calc!B28,Journal!$I$7:$I$83))</f>
        <v>0</v>
      </c>
      <c r="F28" s="44">
        <f t="shared" ca="1" si="7"/>
        <v>0</v>
      </c>
      <c r="G28" s="15">
        <f t="shared" ca="1" si="8"/>
        <v>0</v>
      </c>
      <c r="H28" s="14" t="str">
        <f t="shared" ca="1" si="9"/>
        <v xml:space="preserve"> </v>
      </c>
      <c r="I28" s="43" t="str">
        <f t="shared" ca="1" si="10"/>
        <v xml:space="preserve"> </v>
      </c>
      <c r="J28" s="45" t="str">
        <f t="shared" ca="1" si="11"/>
        <v xml:space="preserve"> </v>
      </c>
      <c r="K28" s="48" t="str">
        <f t="shared" ca="1" si="12"/>
        <v xml:space="preserve"> </v>
      </c>
      <c r="L28" s="45" t="str">
        <f t="shared" ca="1" si="13"/>
        <v xml:space="preserve"> </v>
      </c>
      <c r="M28" s="48" t="str">
        <f t="shared" ca="1" si="14"/>
        <v xml:space="preserve"> </v>
      </c>
      <c r="N28" s="24"/>
      <c r="O28" s="12">
        <f t="shared" si="15"/>
        <v>10.002399999999994</v>
      </c>
      <c r="P28" s="12">
        <f t="shared" si="16"/>
        <v>9.0005999999999986</v>
      </c>
      <c r="Q28" s="12">
        <f t="shared" si="17"/>
        <v>3</v>
      </c>
      <c r="R28" s="12">
        <f t="shared" si="18"/>
        <v>4.4000000000000003E-3</v>
      </c>
      <c r="S28" s="12">
        <f t="shared" si="19"/>
        <v>3020</v>
      </c>
      <c r="T28" s="12" t="str">
        <f t="shared" si="20"/>
        <v>Aufwand 2 nach Verbrauch</v>
      </c>
      <c r="U28" s="43">
        <f ca="1">IF(OR(A28=Kontenplan!$C$3,A28=Kontenplan!$C$5),F28-G28,G28-F28)</f>
        <v>0</v>
      </c>
      <c r="V28" s="171">
        <f t="shared" si="3"/>
        <v>22</v>
      </c>
      <c r="W28" s="12">
        <f t="shared" si="4"/>
        <v>3.0001300000000009</v>
      </c>
      <c r="X28" s="12">
        <f t="shared" si="5"/>
        <v>3.0000700000000005</v>
      </c>
      <c r="Y28" s="12" t="str">
        <f>IF(Z28=0,VLOOKUP(W28,Kontenplan!$Y$9:$AA$551,3),"")</f>
        <v/>
      </c>
      <c r="Z28" s="12">
        <f t="shared" si="21"/>
        <v>3720</v>
      </c>
      <c r="AA28" s="12" t="str">
        <f t="shared" ca="1" si="22"/>
        <v>Verbrauchsmaterial (Hauswart)</v>
      </c>
      <c r="AB28" s="46">
        <f t="shared" ca="1" si="23"/>
        <v>0</v>
      </c>
      <c r="AC28" s="46" t="str">
        <f t="shared" ca="1" si="24"/>
        <v/>
      </c>
      <c r="AD28" s="47"/>
      <c r="AE28" s="12" t="str">
        <f>IF(AF28=0,VLOOKUP(X28,Kontenplan!$Z$9:$AB$551,3),"")</f>
        <v/>
      </c>
      <c r="AF28" s="47">
        <f t="shared" si="25"/>
        <v>6070</v>
      </c>
      <c r="AG28" s="12" t="str">
        <f t="shared" ca="1" si="26"/>
        <v>NK-Rückzhgen: Partei 7</v>
      </c>
      <c r="AH28" s="46">
        <f t="shared" ca="1" si="27"/>
        <v>0</v>
      </c>
      <c r="AI28" s="46" t="str">
        <f t="shared" ca="1" si="28"/>
        <v/>
      </c>
      <c r="AJ28" s="46"/>
      <c r="AK28" s="147">
        <f t="shared" ca="1" si="29"/>
        <v>2.0012000000000025</v>
      </c>
      <c r="AL28" s="147">
        <f t="shared" si="30"/>
        <v>2.0015000000000032</v>
      </c>
      <c r="AM28" s="12" t="str">
        <f>IF(V28&lt;=AO$3,VLOOKUP(V28,Kontenplan!$A$9:$D$278,4),"")</f>
        <v/>
      </c>
      <c r="AN28" s="12">
        <f t="shared" si="31"/>
        <v>0</v>
      </c>
      <c r="AO28" s="12" t="str">
        <f t="shared" ca="1" si="32"/>
        <v/>
      </c>
      <c r="AP28" s="46" t="str">
        <f t="shared" ca="1" si="33"/>
        <v/>
      </c>
      <c r="AQ28" s="46" t="str">
        <f t="shared" ca="1" si="34"/>
        <v/>
      </c>
      <c r="AR28" s="46"/>
      <c r="AS28" s="147">
        <f t="shared" ca="1" si="35"/>
        <v>3.0011000000000023</v>
      </c>
      <c r="AT28" s="147">
        <f t="shared" si="36"/>
        <v>2.0016000000000034</v>
      </c>
      <c r="AU28" s="47" t="str">
        <f>IF(V28&lt;=AW$3,VLOOKUP(AO$3+V28,Kontenplan!$A$9:$D$278,4),"")</f>
        <v/>
      </c>
      <c r="AV28" s="12">
        <f t="shared" si="37"/>
        <v>0</v>
      </c>
      <c r="AW28" s="12" t="str">
        <f t="shared" ca="1" si="38"/>
        <v/>
      </c>
      <c r="AX28" s="46" t="str">
        <f t="shared" ca="1" si="6"/>
        <v/>
      </c>
      <c r="AY28" s="46" t="str">
        <f t="shared" ca="1" si="39"/>
        <v/>
      </c>
      <c r="BA28" s="12">
        <f>Kontenplan!R30</f>
        <v>3</v>
      </c>
      <c r="BB28" s="12">
        <f>Kontenplan!S30</f>
        <v>2</v>
      </c>
      <c r="BC28" s="12">
        <f>Kontenplan!T30</f>
        <v>1</v>
      </c>
      <c r="BD28" s="170">
        <f>Kontenplan!U30</f>
        <v>0</v>
      </c>
      <c r="BF28" s="24">
        <f ca="1">SUM(AP$7:AP28)</f>
        <v>0</v>
      </c>
      <c r="BG28" s="46">
        <f ca="1">SUM(AQ$7:AQ27)</f>
        <v>0</v>
      </c>
      <c r="BH28" s="24">
        <f t="shared" ca="1" si="40"/>
        <v>0</v>
      </c>
      <c r="BI28" s="24"/>
      <c r="BJ28" s="24">
        <f ca="1">SUM(AX$7:AX28)</f>
        <v>0</v>
      </c>
      <c r="BK28" s="24">
        <f ca="1">SUM(AY$7:AY27)</f>
        <v>0</v>
      </c>
      <c r="BL28" s="24">
        <f t="shared" ca="1" si="41"/>
        <v>0</v>
      </c>
      <c r="BN28" s="24">
        <f ca="1">SUM(AB$7:AB28)</f>
        <v>0</v>
      </c>
      <c r="BO28" s="46">
        <f ca="1">SUM(AC$7:AC27)</f>
        <v>0</v>
      </c>
      <c r="BP28" s="24">
        <f t="shared" ca="1" si="42"/>
        <v>0</v>
      </c>
      <c r="BR28" s="24">
        <f ca="1">SUM(AH$7:AH28)</f>
        <v>0</v>
      </c>
      <c r="BS28" s="46">
        <f ca="1">SUM(AI$7:AI27)</f>
        <v>0</v>
      </c>
      <c r="BT28" s="24">
        <f t="shared" ca="1" si="43"/>
        <v>0</v>
      </c>
    </row>
    <row r="29" spans="1:72" s="12" customFormat="1">
      <c r="A29" s="202" t="str">
        <f>Kontenplan!C31</f>
        <v>Aufwandskonto</v>
      </c>
      <c r="B29" s="224">
        <f>Kontenplan!E31</f>
        <v>3040</v>
      </c>
      <c r="C29" s="225" t="str">
        <f>Kontenplan!F31</f>
        <v>Aufwand 3 nach Verbrauch</v>
      </c>
      <c r="D29" s="43">
        <f>IF(B29=0,0,SUMIF(Journal!$F$7:$F$83,Calc!B29,Journal!$I$7:$I$83))</f>
        <v>0</v>
      </c>
      <c r="E29" s="15">
        <f ca="1">IF(B29=0,0,SUMIF(Journal!$G$7:$M103,Calc!B29,Journal!$I$7:$I$83))</f>
        <v>0</v>
      </c>
      <c r="F29" s="44">
        <f t="shared" ca="1" si="7"/>
        <v>0</v>
      </c>
      <c r="G29" s="15">
        <f t="shared" ca="1" si="8"/>
        <v>0</v>
      </c>
      <c r="H29" s="14" t="str">
        <f t="shared" ca="1" si="9"/>
        <v xml:space="preserve"> </v>
      </c>
      <c r="I29" s="43" t="str">
        <f t="shared" ca="1" si="10"/>
        <v xml:space="preserve"> </v>
      </c>
      <c r="J29" s="45" t="str">
        <f t="shared" ca="1" si="11"/>
        <v xml:space="preserve"> </v>
      </c>
      <c r="K29" s="48" t="str">
        <f t="shared" ca="1" si="12"/>
        <v xml:space="preserve"> </v>
      </c>
      <c r="L29" s="45" t="str">
        <f t="shared" ca="1" si="13"/>
        <v xml:space="preserve"> </v>
      </c>
      <c r="M29" s="48" t="str">
        <f t="shared" ca="1" si="14"/>
        <v xml:space="preserve"> </v>
      </c>
      <c r="N29" s="24"/>
      <c r="O29" s="12">
        <f t="shared" si="15"/>
        <v>10.002599999999994</v>
      </c>
      <c r="P29" s="12">
        <f t="shared" si="16"/>
        <v>9.0007999999999981</v>
      </c>
      <c r="Q29" s="12">
        <f t="shared" si="17"/>
        <v>4</v>
      </c>
      <c r="R29" s="12">
        <f t="shared" si="18"/>
        <v>4.5999999999999999E-3</v>
      </c>
      <c r="S29" s="12">
        <f t="shared" si="19"/>
        <v>3040</v>
      </c>
      <c r="T29" s="12" t="str">
        <f t="shared" si="20"/>
        <v>Aufwand 3 nach Verbrauch</v>
      </c>
      <c r="U29" s="43">
        <f ca="1">IF(OR(A29=Kontenplan!$C$3,A29=Kontenplan!$C$5),F29-G29,G29-F29)</f>
        <v>0</v>
      </c>
      <c r="V29" s="171">
        <f t="shared" si="3"/>
        <v>23</v>
      </c>
      <c r="W29" s="12">
        <f t="shared" si="4"/>
        <v>3.0001400000000009</v>
      </c>
      <c r="X29" s="12">
        <f t="shared" si="5"/>
        <v>3.0000800000000005</v>
      </c>
      <c r="Y29" s="12" t="str">
        <f>IF(Z29=0,VLOOKUP(W29,Kontenplan!$Y$9:$AA$551,3),"")</f>
        <v/>
      </c>
      <c r="Z29" s="12">
        <f t="shared" si="21"/>
        <v>3740</v>
      </c>
      <c r="AA29" s="12" t="str">
        <f t="shared" ca="1" si="22"/>
        <v>Winterdienst</v>
      </c>
      <c r="AB29" s="46">
        <f t="shared" ca="1" si="23"/>
        <v>0</v>
      </c>
      <c r="AC29" s="46" t="str">
        <f t="shared" ca="1" si="24"/>
        <v/>
      </c>
      <c r="AD29" s="47"/>
      <c r="AE29" s="12" t="str">
        <f>IF(AF29=0,VLOOKUP(X29,Kontenplan!$Z$9:$AB$551,3),"")</f>
        <v/>
      </c>
      <c r="AF29" s="47">
        <f t="shared" si="25"/>
        <v>6080</v>
      </c>
      <c r="AG29" s="12" t="str">
        <f t="shared" ca="1" si="26"/>
        <v>NK-Rückzhgen: Partei 8</v>
      </c>
      <c r="AH29" s="46">
        <f t="shared" ca="1" si="27"/>
        <v>0</v>
      </c>
      <c r="AI29" s="46" t="str">
        <f t="shared" ca="1" si="28"/>
        <v/>
      </c>
      <c r="AJ29" s="46"/>
      <c r="AK29" s="147">
        <f t="shared" ca="1" si="29"/>
        <v>2.0013000000000027</v>
      </c>
      <c r="AL29" s="147">
        <f t="shared" si="30"/>
        <v>2.0016000000000034</v>
      </c>
      <c r="AM29" s="12" t="str">
        <f>IF(V29&lt;=AO$3,VLOOKUP(V29,Kontenplan!$A$9:$D$278,4),"")</f>
        <v/>
      </c>
      <c r="AN29" s="12">
        <f t="shared" si="31"/>
        <v>0</v>
      </c>
      <c r="AO29" s="12" t="str">
        <f t="shared" ca="1" si="32"/>
        <v/>
      </c>
      <c r="AP29" s="46" t="str">
        <f t="shared" ca="1" si="33"/>
        <v/>
      </c>
      <c r="AQ29" s="46" t="str">
        <f t="shared" ca="1" si="34"/>
        <v/>
      </c>
      <c r="AR29" s="46"/>
      <c r="AS29" s="147">
        <f t="shared" ca="1" si="35"/>
        <v>3.0012000000000025</v>
      </c>
      <c r="AT29" s="147">
        <f t="shared" si="36"/>
        <v>2.0017000000000036</v>
      </c>
      <c r="AU29" s="47" t="str">
        <f>IF(V29&lt;=AW$3,VLOOKUP(AO$3+V29,Kontenplan!$A$9:$D$278,4),"")</f>
        <v/>
      </c>
      <c r="AV29" s="12">
        <f t="shared" si="37"/>
        <v>0</v>
      </c>
      <c r="AW29" s="12" t="str">
        <f t="shared" ca="1" si="38"/>
        <v/>
      </c>
      <c r="AX29" s="46" t="str">
        <f t="shared" ca="1" si="6"/>
        <v/>
      </c>
      <c r="AY29" s="46" t="str">
        <f t="shared" ca="1" si="39"/>
        <v/>
      </c>
      <c r="BA29" s="12">
        <f>Kontenplan!R31</f>
        <v>3</v>
      </c>
      <c r="BB29" s="12">
        <f>Kontenplan!S31</f>
        <v>2</v>
      </c>
      <c r="BC29" s="12">
        <f>Kontenplan!T31</f>
        <v>1</v>
      </c>
      <c r="BD29" s="170">
        <f>Kontenplan!U31</f>
        <v>0</v>
      </c>
      <c r="BF29" s="24">
        <f ca="1">SUM(AP$7:AP29)</f>
        <v>0</v>
      </c>
      <c r="BG29" s="46">
        <f ca="1">SUM(AQ$7:AQ28)</f>
        <v>0</v>
      </c>
      <c r="BH29" s="24">
        <f t="shared" ca="1" si="40"/>
        <v>0</v>
      </c>
      <c r="BI29" s="24"/>
      <c r="BJ29" s="24">
        <f ca="1">SUM(AX$7:AX29)</f>
        <v>0</v>
      </c>
      <c r="BK29" s="24">
        <f ca="1">SUM(AY$7:AY28)</f>
        <v>0</v>
      </c>
      <c r="BL29" s="24">
        <f t="shared" ca="1" si="41"/>
        <v>0</v>
      </c>
      <c r="BN29" s="24">
        <f ca="1">SUM(AB$7:AB29)</f>
        <v>0</v>
      </c>
      <c r="BO29" s="46">
        <f ca="1">SUM(AC$7:AC28)</f>
        <v>0</v>
      </c>
      <c r="BP29" s="24">
        <f t="shared" ca="1" si="42"/>
        <v>0</v>
      </c>
      <c r="BR29" s="24">
        <f ca="1">SUM(AH$7:AH29)</f>
        <v>0</v>
      </c>
      <c r="BS29" s="46">
        <f ca="1">SUM(AI$7:AI28)</f>
        <v>0</v>
      </c>
      <c r="BT29" s="24">
        <f t="shared" ca="1" si="43"/>
        <v>0</v>
      </c>
    </row>
    <row r="30" spans="1:72" s="12" customFormat="1">
      <c r="A30" s="202">
        <f>Kontenplan!C32</f>
        <v>0</v>
      </c>
      <c r="B30" s="224">
        <f>Kontenplan!E32</f>
        <v>0</v>
      </c>
      <c r="C30" s="225">
        <f>Kontenplan!F32</f>
        <v>0</v>
      </c>
      <c r="D30" s="43">
        <f>IF(B30=0,0,SUMIF(Journal!$F$7:$F$83,Calc!B30,Journal!$I$7:$I$83))</f>
        <v>0</v>
      </c>
      <c r="E30" s="15">
        <f>IF(B30=0,0,SUMIF(Journal!$G$7:$M104,Calc!B30,Journal!$I$7:$I$83))</f>
        <v>0</v>
      </c>
      <c r="F30" s="44">
        <f t="shared" si="7"/>
        <v>0</v>
      </c>
      <c r="G30" s="15">
        <f t="shared" si="8"/>
        <v>0</v>
      </c>
      <c r="H30" s="14" t="str">
        <f t="shared" si="9"/>
        <v xml:space="preserve"> </v>
      </c>
      <c r="I30" s="43" t="str">
        <f t="shared" si="10"/>
        <v xml:space="preserve"> </v>
      </c>
      <c r="J30" s="45" t="str">
        <f t="shared" si="11"/>
        <v xml:space="preserve"> </v>
      </c>
      <c r="K30" s="48" t="str">
        <f t="shared" si="12"/>
        <v xml:space="preserve"> </v>
      </c>
      <c r="L30" s="45" t="str">
        <f t="shared" si="13"/>
        <v xml:space="preserve"> </v>
      </c>
      <c r="M30" s="48" t="str">
        <f t="shared" si="14"/>
        <v xml:space="preserve"> </v>
      </c>
      <c r="N30" s="24"/>
      <c r="O30" s="12">
        <f t="shared" si="15"/>
        <v>10.002799999999993</v>
      </c>
      <c r="P30" s="12">
        <f t="shared" si="16"/>
        <v>9.0009999999999977</v>
      </c>
      <c r="Q30" s="12">
        <f t="shared" si="17"/>
        <v>5</v>
      </c>
      <c r="R30" s="12">
        <f t="shared" si="18"/>
        <v>4.7999999999999996E-3</v>
      </c>
      <c r="S30" s="12">
        <f t="shared" si="19"/>
        <v>0</v>
      </c>
      <c r="T30" s="12">
        <f t="shared" si="20"/>
        <v>0</v>
      </c>
      <c r="U30" s="43">
        <f>IF(OR(A30=Kontenplan!$C$3,A30=Kontenplan!$C$5),F30-G30,G30-F30)</f>
        <v>0</v>
      </c>
      <c r="V30" s="171">
        <f t="shared" si="3"/>
        <v>24</v>
      </c>
      <c r="W30" s="12">
        <f t="shared" si="4"/>
        <v>3.000150000000001</v>
      </c>
      <c r="X30" s="12">
        <f t="shared" si="5"/>
        <v>3.0000900000000006</v>
      </c>
      <c r="Y30" s="12" t="str">
        <f>IF(Z30=0,VLOOKUP(W30,Kontenplan!$Y$9:$AA$551,3),"")</f>
        <v/>
      </c>
      <c r="Z30" s="12">
        <f t="shared" si="21"/>
        <v>3760</v>
      </c>
      <c r="AA30" s="12" t="str">
        <f t="shared" ca="1" si="22"/>
        <v>Reparaturen</v>
      </c>
      <c r="AB30" s="46">
        <f t="shared" ca="1" si="23"/>
        <v>0</v>
      </c>
      <c r="AC30" s="46" t="str">
        <f t="shared" ca="1" si="24"/>
        <v/>
      </c>
      <c r="AD30" s="47"/>
      <c r="AE30" s="12" t="str">
        <f>IF(AF30=0,VLOOKUP(X30,Kontenplan!$Z$9:$AB$551,3),"")</f>
        <v/>
      </c>
      <c r="AF30" s="47">
        <f t="shared" si="25"/>
        <v>6090</v>
      </c>
      <c r="AG30" s="12" t="str">
        <f t="shared" ca="1" si="26"/>
        <v>NK-Rückzhgen: Partei 9</v>
      </c>
      <c r="AH30" s="46">
        <f t="shared" ca="1" si="27"/>
        <v>0</v>
      </c>
      <c r="AI30" s="46" t="str">
        <f t="shared" ca="1" si="28"/>
        <v/>
      </c>
      <c r="AJ30" s="46"/>
      <c r="AK30" s="147">
        <f t="shared" ca="1" si="29"/>
        <v>2.001400000000003</v>
      </c>
      <c r="AL30" s="147">
        <f t="shared" si="30"/>
        <v>2.0017000000000036</v>
      </c>
      <c r="AM30" s="12" t="str">
        <f>IF(V30&lt;=AO$3,VLOOKUP(V30,Kontenplan!$A$9:$D$278,4),"")</f>
        <v/>
      </c>
      <c r="AN30" s="12">
        <f t="shared" si="31"/>
        <v>0</v>
      </c>
      <c r="AO30" s="12" t="str">
        <f t="shared" ca="1" si="32"/>
        <v/>
      </c>
      <c r="AP30" s="46" t="str">
        <f t="shared" ca="1" si="33"/>
        <v/>
      </c>
      <c r="AQ30" s="46" t="str">
        <f t="shared" ca="1" si="34"/>
        <v/>
      </c>
      <c r="AR30" s="46"/>
      <c r="AS30" s="147">
        <f t="shared" ca="1" si="35"/>
        <v>3.0013000000000027</v>
      </c>
      <c r="AT30" s="147">
        <f t="shared" si="36"/>
        <v>2.0018000000000038</v>
      </c>
      <c r="AU30" s="47" t="str">
        <f>IF(V30&lt;=AW$3,VLOOKUP(AO$3+V30,Kontenplan!$A$9:$D$278,4),"")</f>
        <v/>
      </c>
      <c r="AV30" s="12">
        <f t="shared" si="37"/>
        <v>0</v>
      </c>
      <c r="AW30" s="12" t="str">
        <f t="shared" ca="1" si="38"/>
        <v/>
      </c>
      <c r="AX30" s="46" t="str">
        <f t="shared" ca="1" si="6"/>
        <v/>
      </c>
      <c r="AY30" s="46" t="str">
        <f t="shared" ca="1" si="39"/>
        <v/>
      </c>
      <c r="BA30" s="12">
        <f>Kontenplan!R32</f>
        <v>3</v>
      </c>
      <c r="BB30" s="12">
        <f>Kontenplan!S32</f>
        <v>2</v>
      </c>
      <c r="BC30" s="12">
        <f>Kontenplan!T32</f>
        <v>2</v>
      </c>
      <c r="BD30" s="170">
        <f>Kontenplan!U32</f>
        <v>0</v>
      </c>
      <c r="BF30" s="24">
        <f ca="1">SUM(AP$7:AP30)</f>
        <v>0</v>
      </c>
      <c r="BG30" s="46">
        <f ca="1">SUM(AQ$7:AQ29)</f>
        <v>0</v>
      </c>
      <c r="BH30" s="24">
        <f t="shared" ca="1" si="40"/>
        <v>0</v>
      </c>
      <c r="BI30" s="24"/>
      <c r="BJ30" s="24">
        <f ca="1">SUM(AX$7:AX30)</f>
        <v>0</v>
      </c>
      <c r="BK30" s="24">
        <f ca="1">SUM(AY$7:AY29)</f>
        <v>0</v>
      </c>
      <c r="BL30" s="24">
        <f t="shared" ca="1" si="41"/>
        <v>0</v>
      </c>
      <c r="BN30" s="24">
        <f ca="1">SUM(AB$7:AB30)</f>
        <v>0</v>
      </c>
      <c r="BO30" s="46">
        <f ca="1">SUM(AC$7:AC29)</f>
        <v>0</v>
      </c>
      <c r="BP30" s="24">
        <f t="shared" ca="1" si="42"/>
        <v>0</v>
      </c>
      <c r="BR30" s="24">
        <f ca="1">SUM(AH$7:AH30)</f>
        <v>0</v>
      </c>
      <c r="BS30" s="46">
        <f ca="1">SUM(AI$7:AI29)</f>
        <v>0</v>
      </c>
      <c r="BT30" s="24">
        <f t="shared" ca="1" si="43"/>
        <v>0</v>
      </c>
    </row>
    <row r="31" spans="1:72" s="12" customFormat="1">
      <c r="A31" s="202" t="str">
        <f>Kontenplan!C33</f>
        <v>Aufwandskonto</v>
      </c>
      <c r="B31" s="224">
        <f>Kontenplan!E33</f>
        <v>3100</v>
      </c>
      <c r="C31" s="225" t="str">
        <f>Kontenplan!F33</f>
        <v>Strom</v>
      </c>
      <c r="D31" s="43">
        <f>IF(B31=0,0,SUMIF(Journal!$F$7:$F$83,Calc!B31,Journal!$I$7:$I$83))</f>
        <v>0</v>
      </c>
      <c r="E31" s="15">
        <f ca="1">IF(B31=0,0,SUMIF(Journal!$G$7:$M105,Calc!B31,Journal!$I$7:$I$83))</f>
        <v>0</v>
      </c>
      <c r="F31" s="44">
        <f t="shared" ca="1" si="7"/>
        <v>0</v>
      </c>
      <c r="G31" s="15">
        <f t="shared" ca="1" si="8"/>
        <v>0</v>
      </c>
      <c r="H31" s="14" t="str">
        <f t="shared" ca="1" si="9"/>
        <v xml:space="preserve"> </v>
      </c>
      <c r="I31" s="43" t="str">
        <f t="shared" ca="1" si="10"/>
        <v xml:space="preserve"> </v>
      </c>
      <c r="J31" s="45" t="str">
        <f t="shared" ca="1" si="11"/>
        <v xml:space="preserve"> </v>
      </c>
      <c r="K31" s="48" t="str">
        <f t="shared" ca="1" si="12"/>
        <v xml:space="preserve"> </v>
      </c>
      <c r="L31" s="45" t="str">
        <f t="shared" ca="1" si="13"/>
        <v xml:space="preserve"> </v>
      </c>
      <c r="M31" s="48" t="str">
        <f t="shared" ca="1" si="14"/>
        <v xml:space="preserve"> </v>
      </c>
      <c r="N31" s="24"/>
      <c r="O31" s="12">
        <f t="shared" si="15"/>
        <v>10.002999999999993</v>
      </c>
      <c r="P31" s="12">
        <f t="shared" si="16"/>
        <v>9.0011999999999972</v>
      </c>
      <c r="Q31" s="12">
        <f t="shared" si="17"/>
        <v>6</v>
      </c>
      <c r="R31" s="12">
        <f t="shared" si="18"/>
        <v>4.9999999999999992E-3</v>
      </c>
      <c r="S31" s="12">
        <f t="shared" si="19"/>
        <v>3100</v>
      </c>
      <c r="T31" s="12" t="str">
        <f t="shared" si="20"/>
        <v>Strom</v>
      </c>
      <c r="U31" s="43">
        <f ca="1">IF(OR(A31=Kontenplan!$C$3,A31=Kontenplan!$C$5),F31-G31,G31-F31)</f>
        <v>0</v>
      </c>
      <c r="V31" s="171">
        <f t="shared" si="3"/>
        <v>25</v>
      </c>
      <c r="W31" s="12">
        <f t="shared" si="4"/>
        <v>3.000160000000001</v>
      </c>
      <c r="X31" s="12">
        <f t="shared" si="5"/>
        <v>3.0001000000000007</v>
      </c>
      <c r="Y31" s="12" t="str">
        <f>IF(Z31=0,VLOOKUP(W31,Kontenplan!$Y$9:$AA$551,3),"")</f>
        <v/>
      </c>
      <c r="Z31" s="12">
        <f t="shared" si="21"/>
        <v>3780</v>
      </c>
      <c r="AA31" s="12" t="str">
        <f t="shared" ca="1" si="22"/>
        <v>div. Anschaffungen</v>
      </c>
      <c r="AB31" s="46">
        <f t="shared" ca="1" si="23"/>
        <v>0</v>
      </c>
      <c r="AC31" s="46" t="str">
        <f t="shared" ca="1" si="24"/>
        <v/>
      </c>
      <c r="AD31" s="47"/>
      <c r="AE31" s="12" t="str">
        <f>IF(AF31=0,VLOOKUP(X31,Kontenplan!$Z$9:$AB$551,3),"")</f>
        <v/>
      </c>
      <c r="AF31" s="47">
        <f t="shared" si="25"/>
        <v>6100</v>
      </c>
      <c r="AG31" s="12" t="str">
        <f t="shared" ca="1" si="26"/>
        <v>NK-Rückzhgen: Partei 10</v>
      </c>
      <c r="AH31" s="46">
        <f t="shared" ca="1" si="27"/>
        <v>0</v>
      </c>
      <c r="AI31" s="46" t="str">
        <f t="shared" ca="1" si="28"/>
        <v/>
      </c>
      <c r="AJ31" s="46"/>
      <c r="AK31" s="147">
        <f t="shared" ca="1" si="29"/>
        <v>2.0015000000000032</v>
      </c>
      <c r="AL31" s="147">
        <f t="shared" si="30"/>
        <v>2.0018000000000038</v>
      </c>
      <c r="AM31" s="12" t="str">
        <f>IF(V31&lt;=AO$3,VLOOKUP(V31,Kontenplan!$A$9:$D$278,4),"")</f>
        <v/>
      </c>
      <c r="AN31" s="12">
        <f t="shared" si="31"/>
        <v>0</v>
      </c>
      <c r="AO31" s="12" t="str">
        <f t="shared" ca="1" si="32"/>
        <v/>
      </c>
      <c r="AP31" s="46" t="str">
        <f t="shared" ca="1" si="33"/>
        <v/>
      </c>
      <c r="AQ31" s="46" t="str">
        <f t="shared" ca="1" si="34"/>
        <v/>
      </c>
      <c r="AR31" s="46"/>
      <c r="AS31" s="147">
        <f t="shared" ca="1" si="35"/>
        <v>3.001400000000003</v>
      </c>
      <c r="AT31" s="147">
        <f t="shared" si="36"/>
        <v>2.001900000000004</v>
      </c>
      <c r="AU31" s="47" t="str">
        <f>IF(V31&lt;=AW$3,VLOOKUP(AO$3+V31,Kontenplan!$A$9:$D$278,4),"")</f>
        <v/>
      </c>
      <c r="AV31" s="12">
        <f t="shared" si="37"/>
        <v>0</v>
      </c>
      <c r="AW31" s="12" t="str">
        <f t="shared" ca="1" si="38"/>
        <v/>
      </c>
      <c r="AX31" s="46" t="str">
        <f t="shared" ca="1" si="6"/>
        <v/>
      </c>
      <c r="AY31" s="46" t="str">
        <f t="shared" ca="1" si="39"/>
        <v/>
      </c>
      <c r="BA31" s="12">
        <f>Kontenplan!R33</f>
        <v>3</v>
      </c>
      <c r="BB31" s="12">
        <f>Kontenplan!S33</f>
        <v>2</v>
      </c>
      <c r="BC31" s="12">
        <f>Kontenplan!T33</f>
        <v>2</v>
      </c>
      <c r="BD31" s="170">
        <f>Kontenplan!U33</f>
        <v>0</v>
      </c>
      <c r="BF31" s="24">
        <f ca="1">SUM(AP$7:AP31)</f>
        <v>0</v>
      </c>
      <c r="BG31" s="46">
        <f ca="1">SUM(AQ$7:AQ30)</f>
        <v>0</v>
      </c>
      <c r="BH31" s="24">
        <f t="shared" ca="1" si="40"/>
        <v>0</v>
      </c>
      <c r="BI31" s="24"/>
      <c r="BJ31" s="24">
        <f ca="1">SUM(AX$7:AX31)</f>
        <v>0</v>
      </c>
      <c r="BK31" s="24">
        <f ca="1">SUM(AY$7:AY30)</f>
        <v>0</v>
      </c>
      <c r="BL31" s="24">
        <f t="shared" ca="1" si="41"/>
        <v>0</v>
      </c>
      <c r="BN31" s="24">
        <f ca="1">SUM(AB$7:AB31)</f>
        <v>0</v>
      </c>
      <c r="BO31" s="46">
        <f ca="1">SUM(AC$7:AC30)</f>
        <v>0</v>
      </c>
      <c r="BP31" s="24">
        <f t="shared" ca="1" si="42"/>
        <v>0</v>
      </c>
      <c r="BR31" s="24">
        <f ca="1">SUM(AH$7:AH31)</f>
        <v>0</v>
      </c>
      <c r="BS31" s="46">
        <f ca="1">SUM(AI$7:AI30)</f>
        <v>0</v>
      </c>
      <c r="BT31" s="24">
        <f t="shared" ca="1" si="43"/>
        <v>0</v>
      </c>
    </row>
    <row r="32" spans="1:72" s="12" customFormat="1">
      <c r="A32" s="202" t="str">
        <f>Kontenplan!C34</f>
        <v>Aufwandskonto</v>
      </c>
      <c r="B32" s="224">
        <f>Kontenplan!E34</f>
        <v>3200</v>
      </c>
      <c r="C32" s="225" t="str">
        <f>Kontenplan!F34</f>
        <v>Wasser</v>
      </c>
      <c r="D32" s="43">
        <f>IF(B32=0,0,SUMIF(Journal!$F$7:$F$83,Calc!B32,Journal!$I$7:$I$83))</f>
        <v>0</v>
      </c>
      <c r="E32" s="15">
        <f ca="1">IF(B32=0,0,SUMIF(Journal!$G$7:$M106,Calc!B32,Journal!$I$7:$I$83))</f>
        <v>0</v>
      </c>
      <c r="F32" s="44">
        <f t="shared" ca="1" si="7"/>
        <v>0</v>
      </c>
      <c r="G32" s="15">
        <f t="shared" ca="1" si="8"/>
        <v>0</v>
      </c>
      <c r="H32" s="14" t="str">
        <f t="shared" ca="1" si="9"/>
        <v xml:space="preserve"> </v>
      </c>
      <c r="I32" s="43" t="str">
        <f t="shared" ca="1" si="10"/>
        <v xml:space="preserve"> </v>
      </c>
      <c r="J32" s="45" t="str">
        <f t="shared" ca="1" si="11"/>
        <v xml:space="preserve"> </v>
      </c>
      <c r="K32" s="48" t="str">
        <f t="shared" ca="1" si="12"/>
        <v xml:space="preserve"> </v>
      </c>
      <c r="L32" s="45" t="str">
        <f t="shared" ca="1" si="13"/>
        <v xml:space="preserve"> </v>
      </c>
      <c r="M32" s="48" t="str">
        <f t="shared" ca="1" si="14"/>
        <v xml:space="preserve"> </v>
      </c>
      <c r="N32" s="24"/>
      <c r="O32" s="12">
        <f t="shared" si="15"/>
        <v>10.003199999999993</v>
      </c>
      <c r="P32" s="12">
        <f t="shared" si="16"/>
        <v>9.0013999999999967</v>
      </c>
      <c r="Q32" s="12">
        <f t="shared" si="17"/>
        <v>7</v>
      </c>
      <c r="R32" s="12">
        <f t="shared" si="18"/>
        <v>5.1999999999999989E-3</v>
      </c>
      <c r="S32" s="12">
        <f t="shared" si="19"/>
        <v>3200</v>
      </c>
      <c r="T32" s="12" t="str">
        <f t="shared" si="20"/>
        <v>Wasser</v>
      </c>
      <c r="U32" s="43">
        <f ca="1">IF(OR(A32=Kontenplan!$C$3,A32=Kontenplan!$C$5),F32-G32,G32-F32)</f>
        <v>0</v>
      </c>
      <c r="V32" s="171">
        <f t="shared" si="3"/>
        <v>26</v>
      </c>
      <c r="W32" s="12">
        <f t="shared" si="4"/>
        <v>3.0001700000000011</v>
      </c>
      <c r="X32" s="12">
        <f t="shared" si="5"/>
        <v>3.0001100000000007</v>
      </c>
      <c r="Y32" s="12" t="str">
        <f>IF(Z32=0,VLOOKUP(W32,Kontenplan!$Y$9:$AA$551,3),"")</f>
        <v/>
      </c>
      <c r="Z32" s="12">
        <f t="shared" si="21"/>
        <v>3850</v>
      </c>
      <c r="AA32" s="12" t="str">
        <f t="shared" ca="1" si="22"/>
        <v>Festivitäten</v>
      </c>
      <c r="AB32" s="46">
        <f t="shared" ca="1" si="23"/>
        <v>0</v>
      </c>
      <c r="AC32" s="46" t="str">
        <f t="shared" ca="1" si="24"/>
        <v/>
      </c>
      <c r="AD32" s="47"/>
      <c r="AE32" s="12" t="str">
        <f>IF(AF32=0,VLOOKUP(X32,Kontenplan!$Z$9:$AB$551,3),"")</f>
        <v/>
      </c>
      <c r="AF32" s="47">
        <f t="shared" si="25"/>
        <v>6110</v>
      </c>
      <c r="AG32" s="12" t="str">
        <f t="shared" ca="1" si="26"/>
        <v>NK-Rückzhgen: Partei 11</v>
      </c>
      <c r="AH32" s="46">
        <f t="shared" ca="1" si="27"/>
        <v>0</v>
      </c>
      <c r="AI32" s="46" t="str">
        <f t="shared" ca="1" si="28"/>
        <v/>
      </c>
      <c r="AJ32" s="46"/>
      <c r="AK32" s="147">
        <f t="shared" ca="1" si="29"/>
        <v>2.0016000000000034</v>
      </c>
      <c r="AL32" s="147">
        <f t="shared" si="30"/>
        <v>2.001900000000004</v>
      </c>
      <c r="AM32" s="12" t="str">
        <f>IF(V32&lt;=AO$3,VLOOKUP(V32,Kontenplan!$A$9:$D$278,4),"")</f>
        <v/>
      </c>
      <c r="AN32" s="12">
        <f t="shared" si="31"/>
        <v>0</v>
      </c>
      <c r="AO32" s="12" t="str">
        <f t="shared" ca="1" si="32"/>
        <v/>
      </c>
      <c r="AP32" s="46" t="str">
        <f t="shared" ca="1" si="33"/>
        <v/>
      </c>
      <c r="AQ32" s="46" t="str">
        <f t="shared" ca="1" si="34"/>
        <v/>
      </c>
      <c r="AR32" s="46"/>
      <c r="AS32" s="147">
        <f t="shared" ca="1" si="35"/>
        <v>3.0015000000000032</v>
      </c>
      <c r="AT32" s="147">
        <f t="shared" si="36"/>
        <v>2.0020000000000042</v>
      </c>
      <c r="AU32" s="47" t="str">
        <f>IF(V32&lt;=AW$3,VLOOKUP(AO$3+V32,Kontenplan!$A$9:$D$278,4),"")</f>
        <v/>
      </c>
      <c r="AV32" s="12">
        <f t="shared" si="37"/>
        <v>0</v>
      </c>
      <c r="AW32" s="12" t="str">
        <f t="shared" ca="1" si="38"/>
        <v/>
      </c>
      <c r="AX32" s="46" t="str">
        <f t="shared" ca="1" si="6"/>
        <v/>
      </c>
      <c r="AY32" s="46" t="str">
        <f t="shared" ca="1" si="39"/>
        <v/>
      </c>
      <c r="BA32" s="12">
        <f>Kontenplan!R34</f>
        <v>3</v>
      </c>
      <c r="BB32" s="12">
        <f>Kontenplan!S34</f>
        <v>2</v>
      </c>
      <c r="BC32" s="12">
        <f>Kontenplan!T34</f>
        <v>2</v>
      </c>
      <c r="BD32" s="170">
        <f>Kontenplan!U34</f>
        <v>0</v>
      </c>
      <c r="BF32" s="24">
        <f ca="1">SUM(AP$7:AP32)</f>
        <v>0</v>
      </c>
      <c r="BG32" s="46">
        <f ca="1">SUM(AQ$7:AQ31)</f>
        <v>0</v>
      </c>
      <c r="BH32" s="24">
        <f t="shared" ca="1" si="40"/>
        <v>0</v>
      </c>
      <c r="BI32" s="24"/>
      <c r="BJ32" s="24">
        <f ca="1">SUM(AX$7:AX32)</f>
        <v>0</v>
      </c>
      <c r="BK32" s="24">
        <f ca="1">SUM(AY$7:AY31)</f>
        <v>0</v>
      </c>
      <c r="BL32" s="24">
        <f t="shared" ca="1" si="41"/>
        <v>0</v>
      </c>
      <c r="BN32" s="24">
        <f ca="1">SUM(AB$7:AB32)</f>
        <v>0</v>
      </c>
      <c r="BO32" s="46">
        <f ca="1">SUM(AC$7:AC31)</f>
        <v>0</v>
      </c>
      <c r="BP32" s="24">
        <f t="shared" ca="1" si="42"/>
        <v>0</v>
      </c>
      <c r="BR32" s="24">
        <f ca="1">SUM(AH$7:AH32)</f>
        <v>0</v>
      </c>
      <c r="BS32" s="46">
        <f ca="1">SUM(AI$7:AI31)</f>
        <v>0</v>
      </c>
      <c r="BT32" s="24">
        <f t="shared" ca="1" si="43"/>
        <v>0</v>
      </c>
    </row>
    <row r="33" spans="1:72" s="12" customFormat="1">
      <c r="A33" s="202" t="str">
        <f>Kontenplan!C35</f>
        <v>Aufwandskonto</v>
      </c>
      <c r="B33" s="224">
        <f>Kontenplan!E35</f>
        <v>3300</v>
      </c>
      <c r="C33" s="225" t="str">
        <f>Kontenplan!F35</f>
        <v>ARA</v>
      </c>
      <c r="D33" s="43">
        <f>IF(B33=0,0,SUMIF(Journal!$F$7:$F$83,Calc!B33,Journal!$I$7:$I$83))</f>
        <v>0</v>
      </c>
      <c r="E33" s="15">
        <f ca="1">IF(B33=0,0,SUMIF(Journal!$G$7:$M107,Calc!B33,Journal!$I$7:$I$83))</f>
        <v>0</v>
      </c>
      <c r="F33" s="44">
        <f t="shared" ca="1" si="7"/>
        <v>0</v>
      </c>
      <c r="G33" s="15">
        <f t="shared" ca="1" si="8"/>
        <v>0</v>
      </c>
      <c r="H33" s="14" t="str">
        <f t="shared" ca="1" si="9"/>
        <v xml:space="preserve"> </v>
      </c>
      <c r="I33" s="43" t="str">
        <f t="shared" ca="1" si="10"/>
        <v xml:space="preserve"> </v>
      </c>
      <c r="J33" s="45" t="str">
        <f t="shared" ca="1" si="11"/>
        <v xml:space="preserve"> </v>
      </c>
      <c r="K33" s="48" t="str">
        <f t="shared" ca="1" si="12"/>
        <v xml:space="preserve"> </v>
      </c>
      <c r="L33" s="45" t="str">
        <f t="shared" ca="1" si="13"/>
        <v xml:space="preserve"> </v>
      </c>
      <c r="M33" s="48" t="str">
        <f t="shared" ca="1" si="14"/>
        <v xml:space="preserve"> </v>
      </c>
      <c r="N33" s="24"/>
      <c r="O33" s="12">
        <f t="shared" si="15"/>
        <v>10.003399999999992</v>
      </c>
      <c r="P33" s="12">
        <f t="shared" si="16"/>
        <v>9.0015999999999963</v>
      </c>
      <c r="Q33" s="12">
        <f t="shared" si="17"/>
        <v>8</v>
      </c>
      <c r="R33" s="12">
        <f t="shared" si="18"/>
        <v>5.3999999999999986E-3</v>
      </c>
      <c r="S33" s="12">
        <f t="shared" si="19"/>
        <v>3300</v>
      </c>
      <c r="T33" s="12" t="str">
        <f t="shared" si="20"/>
        <v>ARA</v>
      </c>
      <c r="U33" s="43">
        <f ca="1">IF(OR(A33=Kontenplan!$C$3,A33=Kontenplan!$C$5),F33-G33,G33-F33)</f>
        <v>0</v>
      </c>
      <c r="V33" s="171">
        <f t="shared" si="3"/>
        <v>27</v>
      </c>
      <c r="W33" s="12">
        <f t="shared" si="4"/>
        <v>3.0001800000000012</v>
      </c>
      <c r="X33" s="12">
        <f t="shared" si="5"/>
        <v>3.0001200000000008</v>
      </c>
      <c r="Y33" s="12" t="str">
        <f>IF(Z33=0,VLOOKUP(W33,Kontenplan!$Y$9:$AA$551,3),"")</f>
        <v/>
      </c>
      <c r="Z33" s="12">
        <f t="shared" si="21"/>
        <v>3900</v>
      </c>
      <c r="AA33" s="12" t="str">
        <f t="shared" ca="1" si="22"/>
        <v>Diverses</v>
      </c>
      <c r="AB33" s="46">
        <f t="shared" ca="1" si="23"/>
        <v>0</v>
      </c>
      <c r="AC33" s="46">
        <f t="shared" ca="1" si="24"/>
        <v>0</v>
      </c>
      <c r="AD33" s="47"/>
      <c r="AE33" s="12" t="str">
        <f>IF(AF33=0,VLOOKUP(X33,Kontenplan!$Z$9:$AB$551,3),"")</f>
        <v/>
      </c>
      <c r="AF33" s="47">
        <f t="shared" si="25"/>
        <v>6120</v>
      </c>
      <c r="AG33" s="12" t="str">
        <f t="shared" ca="1" si="26"/>
        <v>NK-Rückzhgen: Partei 12</v>
      </c>
      <c r="AH33" s="46">
        <f t="shared" ca="1" si="27"/>
        <v>0</v>
      </c>
      <c r="AI33" s="46">
        <f t="shared" ca="1" si="28"/>
        <v>0</v>
      </c>
      <c r="AJ33" s="46"/>
      <c r="AK33" s="147">
        <f t="shared" ca="1" si="29"/>
        <v>2.0017000000000036</v>
      </c>
      <c r="AL33" s="147">
        <f t="shared" si="30"/>
        <v>2.0020000000000042</v>
      </c>
      <c r="AM33" s="12" t="str">
        <f>IF(V33&lt;=AO$3,VLOOKUP(V33,Kontenplan!$A$9:$D$278,4),"")</f>
        <v/>
      </c>
      <c r="AN33" s="12">
        <f t="shared" si="31"/>
        <v>0</v>
      </c>
      <c r="AO33" s="12" t="str">
        <f t="shared" ca="1" si="32"/>
        <v/>
      </c>
      <c r="AP33" s="46" t="str">
        <f t="shared" ca="1" si="33"/>
        <v/>
      </c>
      <c r="AQ33" s="46" t="str">
        <f t="shared" ca="1" si="34"/>
        <v/>
      </c>
      <c r="AR33" s="46"/>
      <c r="AS33" s="147">
        <f t="shared" ca="1" si="35"/>
        <v>3.0016000000000034</v>
      </c>
      <c r="AT33" s="147">
        <f t="shared" si="36"/>
        <v>2.0021000000000044</v>
      </c>
      <c r="AU33" s="47" t="str">
        <f>IF(V33&lt;=AW$3,VLOOKUP(AO$3+V33,Kontenplan!$A$9:$D$278,4),"")</f>
        <v/>
      </c>
      <c r="AV33" s="12">
        <f t="shared" si="37"/>
        <v>0</v>
      </c>
      <c r="AW33" s="12" t="str">
        <f t="shared" ca="1" si="38"/>
        <v/>
      </c>
      <c r="AX33" s="46" t="str">
        <f t="shared" ca="1" si="6"/>
        <v/>
      </c>
      <c r="AY33" s="46" t="str">
        <f t="shared" ca="1" si="39"/>
        <v/>
      </c>
      <c r="BA33" s="12">
        <f>Kontenplan!R35</f>
        <v>3</v>
      </c>
      <c r="BB33" s="12">
        <f>Kontenplan!S35</f>
        <v>2</v>
      </c>
      <c r="BC33" s="12">
        <f>Kontenplan!T35</f>
        <v>2</v>
      </c>
      <c r="BD33" s="170">
        <f>Kontenplan!U35</f>
        <v>0</v>
      </c>
      <c r="BF33" s="24">
        <f ca="1">SUM(AP$7:AP33)</f>
        <v>0</v>
      </c>
      <c r="BG33" s="46">
        <f ca="1">SUM(AQ$7:AQ32)</f>
        <v>0</v>
      </c>
      <c r="BH33" s="24">
        <f t="shared" ca="1" si="40"/>
        <v>0</v>
      </c>
      <c r="BI33" s="24"/>
      <c r="BJ33" s="24">
        <f ca="1">SUM(AX$7:AX33)</f>
        <v>0</v>
      </c>
      <c r="BK33" s="24">
        <f ca="1">SUM(AY$7:AY32)</f>
        <v>0</v>
      </c>
      <c r="BL33" s="24">
        <f t="shared" ca="1" si="41"/>
        <v>0</v>
      </c>
      <c r="BN33" s="24">
        <f ca="1">SUM(AB$7:AB33)</f>
        <v>0</v>
      </c>
      <c r="BO33" s="46">
        <f ca="1">SUM(AC$7:AC32)</f>
        <v>0</v>
      </c>
      <c r="BP33" s="24">
        <f t="shared" ca="1" si="42"/>
        <v>0</v>
      </c>
      <c r="BR33" s="24">
        <f ca="1">SUM(AH$7:AH33)</f>
        <v>0</v>
      </c>
      <c r="BS33" s="46">
        <f ca="1">SUM(AI$7:AI32)</f>
        <v>0</v>
      </c>
      <c r="BT33" s="24">
        <f t="shared" ca="1" si="43"/>
        <v>0</v>
      </c>
    </row>
    <row r="34" spans="1:72" s="12" customFormat="1">
      <c r="A34" s="202">
        <f>Kontenplan!C36</f>
        <v>0</v>
      </c>
      <c r="B34" s="224">
        <f>Kontenplan!E36</f>
        <v>0</v>
      </c>
      <c r="C34" s="225">
        <f>Kontenplan!F36</f>
        <v>0</v>
      </c>
      <c r="D34" s="43">
        <f>IF(B34=0,0,SUMIF(Journal!$F$7:$F$83,Calc!B34,Journal!$I$7:$I$83))</f>
        <v>0</v>
      </c>
      <c r="E34" s="15">
        <f>IF(B34=0,0,SUMIF(Journal!$G$7:$M108,Calc!B34,Journal!$I$7:$I$83))</f>
        <v>0</v>
      </c>
      <c r="F34" s="44">
        <f t="shared" si="7"/>
        <v>0</v>
      </c>
      <c r="G34" s="15">
        <f t="shared" si="8"/>
        <v>0</v>
      </c>
      <c r="H34" s="14" t="str">
        <f t="shared" si="9"/>
        <v xml:space="preserve"> </v>
      </c>
      <c r="I34" s="43" t="str">
        <f t="shared" si="10"/>
        <v xml:space="preserve"> </v>
      </c>
      <c r="J34" s="45" t="str">
        <f t="shared" si="11"/>
        <v xml:space="preserve"> </v>
      </c>
      <c r="K34" s="48" t="str">
        <f t="shared" si="12"/>
        <v xml:space="preserve"> </v>
      </c>
      <c r="L34" s="45" t="str">
        <f t="shared" si="13"/>
        <v xml:space="preserve"> </v>
      </c>
      <c r="M34" s="48" t="str">
        <f t="shared" si="14"/>
        <v xml:space="preserve"> </v>
      </c>
      <c r="N34" s="24"/>
      <c r="O34" s="12">
        <f t="shared" si="15"/>
        <v>10.003599999999992</v>
      </c>
      <c r="P34" s="12">
        <f t="shared" si="16"/>
        <v>9.0017999999999958</v>
      </c>
      <c r="Q34" s="12">
        <f t="shared" si="17"/>
        <v>9</v>
      </c>
      <c r="R34" s="12">
        <f t="shared" si="18"/>
        <v>5.5999999999999982E-3</v>
      </c>
      <c r="S34" s="12">
        <f t="shared" si="19"/>
        <v>0</v>
      </c>
      <c r="T34" s="12">
        <f t="shared" si="20"/>
        <v>0</v>
      </c>
      <c r="U34" s="43">
        <f>IF(OR(A34=Kontenplan!$C$3,A34=Kontenplan!$C$5),F34-G34,G34-F34)</f>
        <v>0</v>
      </c>
      <c r="V34" s="171">
        <f t="shared" si="3"/>
        <v>28</v>
      </c>
      <c r="W34" s="12">
        <f t="shared" si="4"/>
        <v>4</v>
      </c>
      <c r="X34" s="12">
        <f t="shared" si="5"/>
        <v>4</v>
      </c>
      <c r="Y34" s="12" t="str">
        <f>IF(Z34=0,VLOOKUP(W34,Kontenplan!$Y$9:$AA$551,3),"")</f>
        <v>NK: Aufteilung nach Whg</v>
      </c>
      <c r="Z34" s="12">
        <f t="shared" si="21"/>
        <v>0</v>
      </c>
      <c r="AA34" s="12" t="str">
        <f t="shared" ca="1" si="22"/>
        <v/>
      </c>
      <c r="AB34" s="46">
        <f t="shared" ca="1" si="23"/>
        <v>0</v>
      </c>
      <c r="AC34" s="46" t="str">
        <f t="shared" ca="1" si="24"/>
        <v/>
      </c>
      <c r="AD34" s="47"/>
      <c r="AE34" s="12" t="str">
        <f>IF(AF34=0,VLOOKUP(X34,Kontenplan!$Z$9:$AB$551,3),"")</f>
        <v>Eröffnung</v>
      </c>
      <c r="AF34" s="47">
        <f t="shared" si="25"/>
        <v>0</v>
      </c>
      <c r="AG34" s="12" t="str">
        <f t="shared" ca="1" si="26"/>
        <v/>
      </c>
      <c r="AH34" s="46">
        <f t="shared" ca="1" si="27"/>
        <v>0</v>
      </c>
      <c r="AI34" s="46" t="str">
        <f t="shared" ca="1" si="28"/>
        <v/>
      </c>
      <c r="AJ34" s="46"/>
      <c r="AK34" s="147">
        <f t="shared" ca="1" si="29"/>
        <v>2.0018000000000038</v>
      </c>
      <c r="AL34" s="147">
        <f t="shared" si="30"/>
        <v>2.0021000000000044</v>
      </c>
      <c r="AM34" s="12" t="str">
        <f>IF(V34&lt;=AO$3,VLOOKUP(V34,Kontenplan!$A$9:$D$278,4),"")</f>
        <v/>
      </c>
      <c r="AN34" s="12">
        <f t="shared" si="31"/>
        <v>0</v>
      </c>
      <c r="AO34" s="12" t="str">
        <f t="shared" ca="1" si="32"/>
        <v/>
      </c>
      <c r="AP34" s="46" t="str">
        <f t="shared" ca="1" si="33"/>
        <v/>
      </c>
      <c r="AQ34" s="46" t="str">
        <f t="shared" ca="1" si="34"/>
        <v/>
      </c>
      <c r="AR34" s="46"/>
      <c r="AS34" s="147">
        <f t="shared" ca="1" si="35"/>
        <v>3.0017000000000036</v>
      </c>
      <c r="AT34" s="147">
        <f t="shared" si="36"/>
        <v>2.0022000000000046</v>
      </c>
      <c r="AU34" s="47" t="str">
        <f>IF(V34&lt;=AW$3,VLOOKUP(AO$3+V34,Kontenplan!$A$9:$D$278,4),"")</f>
        <v/>
      </c>
      <c r="AV34" s="12">
        <f t="shared" si="37"/>
        <v>0</v>
      </c>
      <c r="AW34" s="12" t="str">
        <f t="shared" ca="1" si="38"/>
        <v/>
      </c>
      <c r="AX34" s="46" t="str">
        <f t="shared" ca="1" si="6"/>
        <v/>
      </c>
      <c r="AY34" s="46" t="str">
        <f t="shared" ca="1" si="39"/>
        <v/>
      </c>
      <c r="BA34" s="12">
        <f>Kontenplan!R36</f>
        <v>3</v>
      </c>
      <c r="BB34" s="12">
        <f>Kontenplan!S36</f>
        <v>2</v>
      </c>
      <c r="BC34" s="12">
        <f>Kontenplan!T36</f>
        <v>3</v>
      </c>
      <c r="BD34" s="170">
        <f>Kontenplan!U36</f>
        <v>0</v>
      </c>
      <c r="BF34" s="24">
        <f ca="1">SUM(AP$7:AP34)</f>
        <v>0</v>
      </c>
      <c r="BG34" s="46">
        <f ca="1">SUM(AQ$7:AQ33)</f>
        <v>0</v>
      </c>
      <c r="BH34" s="24">
        <f t="shared" ca="1" si="40"/>
        <v>0</v>
      </c>
      <c r="BI34" s="24"/>
      <c r="BJ34" s="24">
        <f ca="1">SUM(AX$7:AX34)</f>
        <v>0</v>
      </c>
      <c r="BK34" s="24">
        <f ca="1">SUM(AY$7:AY33)</f>
        <v>0</v>
      </c>
      <c r="BL34" s="24">
        <f t="shared" ca="1" si="41"/>
        <v>0</v>
      </c>
      <c r="BN34" s="24">
        <f ca="1">SUM(AB$7:AB34)</f>
        <v>0</v>
      </c>
      <c r="BO34" s="46">
        <f ca="1">SUM(AC$7:AC33)</f>
        <v>0</v>
      </c>
      <c r="BP34" s="24">
        <f t="shared" ca="1" si="42"/>
        <v>0</v>
      </c>
      <c r="BR34" s="24">
        <f ca="1">SUM(AH$7:AH34)</f>
        <v>0</v>
      </c>
      <c r="BS34" s="46">
        <f ca="1">SUM(AI$7:AI33)</f>
        <v>0</v>
      </c>
      <c r="BT34" s="24">
        <f t="shared" ca="1" si="43"/>
        <v>0</v>
      </c>
    </row>
    <row r="35" spans="1:72" s="12" customFormat="1">
      <c r="A35" s="202" t="str">
        <f>Kontenplan!C37</f>
        <v>Aufwandskonto</v>
      </c>
      <c r="B35" s="224">
        <f>Kontenplan!E37</f>
        <v>3400</v>
      </c>
      <c r="C35" s="225" t="str">
        <f>Kontenplan!F37</f>
        <v>Honorar Verwaltung</v>
      </c>
      <c r="D35" s="43">
        <f>IF(B35=0,0,SUMIF(Journal!$F$7:$F$83,Calc!B35,Journal!$I$7:$I$83))</f>
        <v>0</v>
      </c>
      <c r="E35" s="15">
        <f ca="1">IF(B35=0,0,SUMIF(Journal!$G$7:$M109,Calc!B35,Journal!$I$7:$I$83))</f>
        <v>0</v>
      </c>
      <c r="F35" s="44">
        <f t="shared" ca="1" si="7"/>
        <v>0</v>
      </c>
      <c r="G35" s="15">
        <f t="shared" ca="1" si="8"/>
        <v>0</v>
      </c>
      <c r="H35" s="14" t="str">
        <f t="shared" ca="1" si="9"/>
        <v xml:space="preserve"> </v>
      </c>
      <c r="I35" s="43" t="str">
        <f t="shared" ca="1" si="10"/>
        <v xml:space="preserve"> </v>
      </c>
      <c r="J35" s="45" t="str">
        <f t="shared" ca="1" si="11"/>
        <v xml:space="preserve"> </v>
      </c>
      <c r="K35" s="48" t="str">
        <f t="shared" ca="1" si="12"/>
        <v xml:space="preserve"> </v>
      </c>
      <c r="L35" s="45" t="str">
        <f t="shared" ca="1" si="13"/>
        <v xml:space="preserve"> </v>
      </c>
      <c r="M35" s="48" t="str">
        <f t="shared" ca="1" si="14"/>
        <v xml:space="preserve"> </v>
      </c>
      <c r="N35" s="24"/>
      <c r="O35" s="12">
        <f t="shared" si="15"/>
        <v>10.003799999999991</v>
      </c>
      <c r="P35" s="12">
        <f t="shared" si="16"/>
        <v>9.0019999999999953</v>
      </c>
      <c r="Q35" s="12">
        <f t="shared" si="17"/>
        <v>10</v>
      </c>
      <c r="R35" s="12">
        <f t="shared" si="18"/>
        <v>5.7999999999999979E-3</v>
      </c>
      <c r="S35" s="12">
        <f t="shared" si="19"/>
        <v>3400</v>
      </c>
      <c r="T35" s="12" t="str">
        <f t="shared" si="20"/>
        <v>Honorar Verwaltung</v>
      </c>
      <c r="U35" s="43">
        <f ca="1">IF(OR(A35=Kontenplan!$C$3,A35=Kontenplan!$C$5),F35-G35,G35-F35)</f>
        <v>0</v>
      </c>
      <c r="V35" s="171">
        <f t="shared" si="3"/>
        <v>29</v>
      </c>
      <c r="W35" s="12">
        <f t="shared" si="4"/>
        <v>4.0000099999999996</v>
      </c>
      <c r="X35" s="12">
        <f t="shared" si="5"/>
        <v>4.0000099999999996</v>
      </c>
      <c r="Y35" s="12" t="str">
        <f>IF(Z35=0,VLOOKUP(W35,Kontenplan!$Y$9:$AA$551,3),"")</f>
        <v/>
      </c>
      <c r="Z35" s="12">
        <f t="shared" si="21"/>
        <v>4000</v>
      </c>
      <c r="AA35" s="12" t="str">
        <f t="shared" ca="1" si="22"/>
        <v>Gebühren Cablecom</v>
      </c>
      <c r="AB35" s="46">
        <f t="shared" ca="1" si="23"/>
        <v>0</v>
      </c>
      <c r="AC35" s="46" t="str">
        <f t="shared" ca="1" si="24"/>
        <v/>
      </c>
      <c r="AD35" s="47"/>
      <c r="AE35" s="12" t="str">
        <f>IF(AF35=0,VLOOKUP(X35,Kontenplan!$Z$9:$AB$551,3),"")</f>
        <v/>
      </c>
      <c r="AF35" s="47">
        <f t="shared" si="25"/>
        <v>9999</v>
      </c>
      <c r="AG35" s="12" t="str">
        <f t="shared" ca="1" si="26"/>
        <v>Eröffnungskonto</v>
      </c>
      <c r="AH35" s="46">
        <f t="shared" ca="1" si="27"/>
        <v>0</v>
      </c>
      <c r="AI35" s="46">
        <f t="shared" ca="1" si="28"/>
        <v>0</v>
      </c>
      <c r="AJ35" s="46"/>
      <c r="AK35" s="147">
        <f t="shared" ca="1" si="29"/>
        <v>2.001900000000004</v>
      </c>
      <c r="AL35" s="147">
        <f t="shared" si="30"/>
        <v>2.0022000000000046</v>
      </c>
      <c r="AM35" s="12" t="str">
        <f>IF(V35&lt;=AO$3,VLOOKUP(V35,Kontenplan!$A$9:$D$278,4),"")</f>
        <v/>
      </c>
      <c r="AN35" s="12">
        <f t="shared" si="31"/>
        <v>0</v>
      </c>
      <c r="AO35" s="12" t="str">
        <f t="shared" ca="1" si="32"/>
        <v/>
      </c>
      <c r="AP35" s="46" t="str">
        <f t="shared" ca="1" si="33"/>
        <v/>
      </c>
      <c r="AQ35" s="46" t="str">
        <f t="shared" ca="1" si="34"/>
        <v/>
      </c>
      <c r="AR35" s="46"/>
      <c r="AS35" s="147">
        <f t="shared" ca="1" si="35"/>
        <v>3.0018000000000038</v>
      </c>
      <c r="AT35" s="147">
        <f t="shared" si="36"/>
        <v>2.0023000000000049</v>
      </c>
      <c r="AU35" s="47" t="str">
        <f>IF(V35&lt;=AW$3,VLOOKUP(AO$3+V35,Kontenplan!$A$9:$D$278,4),"")</f>
        <v/>
      </c>
      <c r="AV35" s="12">
        <f t="shared" si="37"/>
        <v>0</v>
      </c>
      <c r="AW35" s="12" t="str">
        <f t="shared" ca="1" si="38"/>
        <v/>
      </c>
      <c r="AX35" s="46" t="str">
        <f t="shared" ca="1" si="6"/>
        <v/>
      </c>
      <c r="AY35" s="46" t="str">
        <f t="shared" ca="1" si="39"/>
        <v/>
      </c>
      <c r="BA35" s="12">
        <f>Kontenplan!R37</f>
        <v>3</v>
      </c>
      <c r="BB35" s="12">
        <f>Kontenplan!S37</f>
        <v>2</v>
      </c>
      <c r="BC35" s="12">
        <f>Kontenplan!T37</f>
        <v>3</v>
      </c>
      <c r="BD35" s="170">
        <f>Kontenplan!U37</f>
        <v>0</v>
      </c>
      <c r="BF35" s="24">
        <f ca="1">SUM(AP$7:AP35)</f>
        <v>0</v>
      </c>
      <c r="BG35" s="46">
        <f ca="1">SUM(AQ$7:AQ34)</f>
        <v>0</v>
      </c>
      <c r="BH35" s="24">
        <f t="shared" ca="1" si="40"/>
        <v>0</v>
      </c>
      <c r="BI35" s="24"/>
      <c r="BJ35" s="24">
        <f ca="1">SUM(AX$7:AX35)</f>
        <v>0</v>
      </c>
      <c r="BK35" s="24">
        <f ca="1">SUM(AY$7:AY34)</f>
        <v>0</v>
      </c>
      <c r="BL35" s="24">
        <f t="shared" ca="1" si="41"/>
        <v>0</v>
      </c>
      <c r="BN35" s="24">
        <f ca="1">SUM(AB$7:AB35)</f>
        <v>0</v>
      </c>
      <c r="BO35" s="46">
        <f ca="1">SUM(AC$7:AC34)</f>
        <v>0</v>
      </c>
      <c r="BP35" s="24">
        <f t="shared" ca="1" si="42"/>
        <v>0</v>
      </c>
      <c r="BR35" s="24">
        <f ca="1">SUM(AH$7:AH35)</f>
        <v>0</v>
      </c>
      <c r="BS35" s="46">
        <f ca="1">SUM(AI$7:AI34)</f>
        <v>0</v>
      </c>
      <c r="BT35" s="24">
        <f t="shared" ca="1" si="43"/>
        <v>0</v>
      </c>
    </row>
    <row r="36" spans="1:72" s="12" customFormat="1">
      <c r="A36" s="202" t="str">
        <f>Kontenplan!C38</f>
        <v>Aufwandskonto</v>
      </c>
      <c r="B36" s="224">
        <f>Kontenplan!E38</f>
        <v>3420</v>
      </c>
      <c r="C36" s="225" t="str">
        <f>Kontenplan!F38</f>
        <v>Hauswartdienst</v>
      </c>
      <c r="D36" s="43">
        <f>IF(B36=0,0,SUMIF(Journal!$F$7:$F$83,Calc!B36,Journal!$I$7:$I$83))</f>
        <v>0</v>
      </c>
      <c r="E36" s="15">
        <f ca="1">IF(B36=0,0,SUMIF(Journal!$G$7:$M110,Calc!B36,Journal!$I$7:$I$83))</f>
        <v>0</v>
      </c>
      <c r="F36" s="44">
        <f t="shared" ca="1" si="7"/>
        <v>0</v>
      </c>
      <c r="G36" s="15">
        <f t="shared" ca="1" si="8"/>
        <v>0</v>
      </c>
      <c r="H36" s="14" t="str">
        <f t="shared" ca="1" si="9"/>
        <v xml:space="preserve"> </v>
      </c>
      <c r="I36" s="43" t="str">
        <f t="shared" ca="1" si="10"/>
        <v xml:space="preserve"> </v>
      </c>
      <c r="J36" s="45" t="str">
        <f t="shared" ca="1" si="11"/>
        <v xml:space="preserve"> </v>
      </c>
      <c r="K36" s="48" t="str">
        <f t="shared" ca="1" si="12"/>
        <v xml:space="preserve"> </v>
      </c>
      <c r="L36" s="45" t="str">
        <f t="shared" ca="1" si="13"/>
        <v xml:space="preserve"> </v>
      </c>
      <c r="M36" s="48" t="str">
        <f t="shared" ca="1" si="14"/>
        <v xml:space="preserve"> </v>
      </c>
      <c r="N36" s="24"/>
      <c r="O36" s="12">
        <f t="shared" si="15"/>
        <v>10.003999999999991</v>
      </c>
      <c r="P36" s="12">
        <f t="shared" si="16"/>
        <v>9.0021999999999949</v>
      </c>
      <c r="Q36" s="12">
        <f t="shared" si="17"/>
        <v>11</v>
      </c>
      <c r="R36" s="12">
        <f t="shared" si="18"/>
        <v>5.9999999999999975E-3</v>
      </c>
      <c r="S36" s="12">
        <f t="shared" si="19"/>
        <v>3420</v>
      </c>
      <c r="T36" s="12" t="str">
        <f t="shared" si="20"/>
        <v>Hauswartdienst</v>
      </c>
      <c r="U36" s="43">
        <f ca="1">IF(OR(A36=Kontenplan!$C$3,A36=Kontenplan!$C$5),F36-G36,G36-F36)</f>
        <v>0</v>
      </c>
      <c r="V36" s="171">
        <f t="shared" si="3"/>
        <v>30</v>
      </c>
      <c r="W36" s="12">
        <f t="shared" si="4"/>
        <v>4.0000199999999992</v>
      </c>
      <c r="X36" s="12">
        <f t="shared" si="5"/>
        <v>5</v>
      </c>
      <c r="Y36" s="12" t="str">
        <f>IF(Z36=0,VLOOKUP(W36,Kontenplan!$Y$9:$AA$551,3),"")</f>
        <v/>
      </c>
      <c r="Z36" s="12">
        <f t="shared" si="21"/>
        <v>4100</v>
      </c>
      <c r="AA36" s="12" t="str">
        <f t="shared" ca="1" si="22"/>
        <v>Kehrrichtgebühren</v>
      </c>
      <c r="AB36" s="46">
        <f t="shared" ca="1" si="23"/>
        <v>0</v>
      </c>
      <c r="AC36" s="46" t="str">
        <f t="shared" ca="1" si="24"/>
        <v/>
      </c>
      <c r="AD36" s="47"/>
      <c r="AE36" s="12">
        <f>IF(AF36=0,VLOOKUP(X36,Kontenplan!$Z$9:$AB$551,3),"")</f>
        <v>0</v>
      </c>
      <c r="AF36" s="47">
        <f t="shared" si="25"/>
        <v>0</v>
      </c>
      <c r="AG36" s="12" t="str">
        <f t="shared" ca="1" si="26"/>
        <v/>
      </c>
      <c r="AH36" s="46">
        <f t="shared" ca="1" si="27"/>
        <v>0</v>
      </c>
      <c r="AI36" s="46" t="str">
        <f t="shared" ca="1" si="28"/>
        <v/>
      </c>
      <c r="AJ36" s="46"/>
      <c r="AK36" s="147">
        <f t="shared" ca="1" si="29"/>
        <v>2.0020000000000042</v>
      </c>
      <c r="AL36" s="147">
        <f t="shared" si="30"/>
        <v>2.0023000000000049</v>
      </c>
      <c r="AM36" s="12" t="str">
        <f>IF(V36&lt;=AO$3,VLOOKUP(V36,Kontenplan!$A$9:$D$278,4),"")</f>
        <v/>
      </c>
      <c r="AN36" s="12">
        <f t="shared" si="31"/>
        <v>0</v>
      </c>
      <c r="AO36" s="12" t="str">
        <f t="shared" ca="1" si="32"/>
        <v/>
      </c>
      <c r="AP36" s="46" t="str">
        <f t="shared" ca="1" si="33"/>
        <v/>
      </c>
      <c r="AQ36" s="46" t="str">
        <f t="shared" ca="1" si="34"/>
        <v/>
      </c>
      <c r="AR36" s="46"/>
      <c r="AS36" s="147">
        <f t="shared" ca="1" si="35"/>
        <v>3.001900000000004</v>
      </c>
      <c r="AT36" s="147">
        <f t="shared" si="36"/>
        <v>2.0024000000000051</v>
      </c>
      <c r="AU36" s="47" t="str">
        <f>IF(V36&lt;=AW$3,VLOOKUP(AO$3+V36,Kontenplan!$A$9:$D$278,4),"")</f>
        <v/>
      </c>
      <c r="AV36" s="12">
        <f t="shared" si="37"/>
        <v>0</v>
      </c>
      <c r="AW36" s="12" t="str">
        <f t="shared" ca="1" si="38"/>
        <v/>
      </c>
      <c r="AX36" s="46" t="str">
        <f t="shared" ca="1" si="6"/>
        <v/>
      </c>
      <c r="AY36" s="46" t="str">
        <f t="shared" ca="1" si="39"/>
        <v/>
      </c>
      <c r="BA36" s="12">
        <f>Kontenplan!R38</f>
        <v>3</v>
      </c>
      <c r="BB36" s="12">
        <f>Kontenplan!S38</f>
        <v>2</v>
      </c>
      <c r="BC36" s="12">
        <f>Kontenplan!T38</f>
        <v>3</v>
      </c>
      <c r="BD36" s="170">
        <f>Kontenplan!U38</f>
        <v>0</v>
      </c>
      <c r="BF36" s="24">
        <f ca="1">SUM(AP$7:AP36)</f>
        <v>0</v>
      </c>
      <c r="BG36" s="46">
        <f ca="1">SUM(AQ$7:AQ35)</f>
        <v>0</v>
      </c>
      <c r="BH36" s="24">
        <f t="shared" ca="1" si="40"/>
        <v>0</v>
      </c>
      <c r="BI36" s="24"/>
      <c r="BJ36" s="24">
        <f ca="1">SUM(AX$7:AX36)</f>
        <v>0</v>
      </c>
      <c r="BK36" s="24">
        <f ca="1">SUM(AY$7:AY35)</f>
        <v>0</v>
      </c>
      <c r="BL36" s="24">
        <f t="shared" ca="1" si="41"/>
        <v>0</v>
      </c>
      <c r="BN36" s="24">
        <f ca="1">SUM(AB$7:AB36)</f>
        <v>0</v>
      </c>
      <c r="BO36" s="46">
        <f ca="1">SUM(AC$7:AC35)</f>
        <v>0</v>
      </c>
      <c r="BP36" s="24">
        <f t="shared" ca="1" si="42"/>
        <v>0</v>
      </c>
      <c r="BR36" s="24">
        <f ca="1">SUM(AH$7:AH36)</f>
        <v>0</v>
      </c>
      <c r="BS36" s="46">
        <f ca="1">SUM(AI$7:AI35)</f>
        <v>0</v>
      </c>
      <c r="BT36" s="24">
        <f t="shared" ca="1" si="43"/>
        <v>0</v>
      </c>
    </row>
    <row r="37" spans="1:72" s="12" customFormat="1">
      <c r="A37" s="202" t="str">
        <f>Kontenplan!C39</f>
        <v>Aufwandskonto</v>
      </c>
      <c r="B37" s="224">
        <f>Kontenplan!E39</f>
        <v>3440</v>
      </c>
      <c r="C37" s="225" t="str">
        <f>Kontenplan!F39</f>
        <v>evtl. Hauswartdienst II</v>
      </c>
      <c r="D37" s="43">
        <f>IF(B37=0,0,SUMIF(Journal!$F$7:$F$83,Calc!B37,Journal!$I$7:$I$83))</f>
        <v>0</v>
      </c>
      <c r="E37" s="15">
        <f ca="1">IF(B37=0,0,SUMIF(Journal!$G$7:$M111,Calc!B37,Journal!$I$7:$I$83))</f>
        <v>0</v>
      </c>
      <c r="F37" s="44">
        <f t="shared" ca="1" si="7"/>
        <v>0</v>
      </c>
      <c r="G37" s="15">
        <f t="shared" ca="1" si="8"/>
        <v>0</v>
      </c>
      <c r="H37" s="14" t="str">
        <f t="shared" ca="1" si="9"/>
        <v xml:space="preserve"> </v>
      </c>
      <c r="I37" s="43" t="str">
        <f t="shared" ca="1" si="10"/>
        <v xml:space="preserve"> </v>
      </c>
      <c r="J37" s="45" t="str">
        <f t="shared" ca="1" si="11"/>
        <v xml:space="preserve"> </v>
      </c>
      <c r="K37" s="48" t="str">
        <f t="shared" ca="1" si="12"/>
        <v xml:space="preserve"> </v>
      </c>
      <c r="L37" s="45" t="str">
        <f t="shared" ca="1" si="13"/>
        <v xml:space="preserve"> </v>
      </c>
      <c r="M37" s="48" t="str">
        <f t="shared" ca="1" si="14"/>
        <v xml:space="preserve"> </v>
      </c>
      <c r="N37" s="24"/>
      <c r="O37" s="12">
        <f t="shared" si="15"/>
        <v>10.00419999999999</v>
      </c>
      <c r="P37" s="12">
        <f t="shared" si="16"/>
        <v>9.0023999999999944</v>
      </c>
      <c r="Q37" s="12">
        <f t="shared" si="17"/>
        <v>12</v>
      </c>
      <c r="R37" s="12">
        <f t="shared" si="18"/>
        <v>6.1999999999999972E-3</v>
      </c>
      <c r="S37" s="12">
        <f t="shared" si="19"/>
        <v>3440</v>
      </c>
      <c r="T37" s="12" t="str">
        <f t="shared" si="20"/>
        <v>evtl. Hauswartdienst II</v>
      </c>
      <c r="U37" s="43">
        <f ca="1">IF(OR(A37=Kontenplan!$C$3,A37=Kontenplan!$C$5),F37-G37,G37-F37)</f>
        <v>0</v>
      </c>
      <c r="V37" s="171">
        <f t="shared" si="3"/>
        <v>31</v>
      </c>
      <c r="W37" s="12">
        <f t="shared" si="4"/>
        <v>4.0000299999999989</v>
      </c>
      <c r="X37" s="12">
        <f t="shared" si="5"/>
        <v>6</v>
      </c>
      <c r="Y37" s="12" t="str">
        <f>IF(Z37=0,VLOOKUP(W37,Kontenplan!$Y$9:$AA$551,3),"")</f>
        <v/>
      </c>
      <c r="Z37" s="12">
        <f t="shared" si="21"/>
        <v>4200</v>
      </c>
      <c r="AA37" s="12" t="str">
        <f t="shared" ca="1" si="22"/>
        <v>Erstellen Heizkostenabrchg</v>
      </c>
      <c r="AB37" s="46">
        <f t="shared" ca="1" si="23"/>
        <v>0</v>
      </c>
      <c r="AC37" s="46">
        <f t="shared" ca="1" si="24"/>
        <v>0</v>
      </c>
      <c r="AD37" s="47"/>
      <c r="AE37" s="12">
        <f>IF(AF37=0,VLOOKUP(X37,Kontenplan!$Z$9:$AB$551,3),"")</f>
        <v>0</v>
      </c>
      <c r="AF37" s="47">
        <f t="shared" si="25"/>
        <v>0</v>
      </c>
      <c r="AG37" s="12" t="str">
        <f t="shared" ca="1" si="26"/>
        <v/>
      </c>
      <c r="AH37" s="46">
        <f t="shared" ca="1" si="27"/>
        <v>0</v>
      </c>
      <c r="AI37" s="46" t="str">
        <f t="shared" ca="1" si="28"/>
        <v/>
      </c>
      <c r="AJ37" s="46"/>
      <c r="AK37" s="147">
        <f t="shared" ca="1" si="29"/>
        <v>2.0021000000000044</v>
      </c>
      <c r="AL37" s="147">
        <f t="shared" si="30"/>
        <v>2.0024000000000051</v>
      </c>
      <c r="AM37" s="12" t="str">
        <f>IF(V37&lt;=AO$3,VLOOKUP(V37,Kontenplan!$A$9:$D$278,4),"")</f>
        <v/>
      </c>
      <c r="AN37" s="12">
        <f t="shared" si="31"/>
        <v>0</v>
      </c>
      <c r="AO37" s="12" t="str">
        <f t="shared" ca="1" si="32"/>
        <v/>
      </c>
      <c r="AP37" s="46" t="str">
        <f t="shared" ca="1" si="33"/>
        <v/>
      </c>
      <c r="AQ37" s="46" t="str">
        <f t="shared" ca="1" si="34"/>
        <v/>
      </c>
      <c r="AR37" s="46"/>
      <c r="AS37" s="147">
        <f t="shared" ca="1" si="35"/>
        <v>3.0020000000000042</v>
      </c>
      <c r="AT37" s="147">
        <f t="shared" si="36"/>
        <v>2.0025000000000053</v>
      </c>
      <c r="AU37" s="47" t="str">
        <f>IF(V37&lt;=AW$3,VLOOKUP(AO$3+V37,Kontenplan!$A$9:$D$278,4),"")</f>
        <v/>
      </c>
      <c r="AV37" s="12">
        <f t="shared" si="37"/>
        <v>0</v>
      </c>
      <c r="AW37" s="12" t="str">
        <f t="shared" ca="1" si="38"/>
        <v/>
      </c>
      <c r="AX37" s="46" t="str">
        <f t="shared" ca="1" si="6"/>
        <v/>
      </c>
      <c r="AY37" s="46" t="str">
        <f t="shared" ca="1" si="39"/>
        <v/>
      </c>
      <c r="BA37" s="12">
        <f>Kontenplan!R39</f>
        <v>3</v>
      </c>
      <c r="BB37" s="12">
        <f>Kontenplan!S39</f>
        <v>2</v>
      </c>
      <c r="BC37" s="12">
        <f>Kontenplan!T39</f>
        <v>3</v>
      </c>
      <c r="BD37" s="170">
        <f>Kontenplan!U39</f>
        <v>0</v>
      </c>
      <c r="BF37" s="24">
        <f ca="1">SUM(AP$7:AP37)</f>
        <v>0</v>
      </c>
      <c r="BG37" s="46">
        <f ca="1">SUM(AQ$7:AQ36)</f>
        <v>0</v>
      </c>
      <c r="BH37" s="24">
        <f t="shared" ca="1" si="40"/>
        <v>0</v>
      </c>
      <c r="BI37" s="24"/>
      <c r="BJ37" s="24">
        <f ca="1">SUM(AX$7:AX37)</f>
        <v>0</v>
      </c>
      <c r="BK37" s="24">
        <f ca="1">SUM(AY$7:AY36)</f>
        <v>0</v>
      </c>
      <c r="BL37" s="24">
        <f t="shared" ca="1" si="41"/>
        <v>0</v>
      </c>
      <c r="BN37" s="24">
        <f ca="1">SUM(AB$7:AB37)</f>
        <v>0</v>
      </c>
      <c r="BO37" s="46">
        <f ca="1">SUM(AC$7:AC36)</f>
        <v>0</v>
      </c>
      <c r="BP37" s="24">
        <f t="shared" ca="1" si="42"/>
        <v>0</v>
      </c>
      <c r="BR37" s="24">
        <f ca="1">SUM(AH$7:AH37)</f>
        <v>0</v>
      </c>
      <c r="BS37" s="46">
        <f ca="1">SUM(AI$7:AI36)</f>
        <v>0</v>
      </c>
      <c r="BT37" s="24">
        <f t="shared" ca="1" si="43"/>
        <v>0</v>
      </c>
    </row>
    <row r="38" spans="1:72" s="12" customFormat="1">
      <c r="A38" s="202" t="str">
        <f>Kontenplan!C40</f>
        <v>Aufwandskonto</v>
      </c>
      <c r="B38" s="224">
        <f>Kontenplan!E40</f>
        <v>3480</v>
      </c>
      <c r="C38" s="225" t="str">
        <f>Kontenplan!F40</f>
        <v>Hauswart AHV</v>
      </c>
      <c r="D38" s="43">
        <f>IF(B38=0,0,SUMIF(Journal!$F$7:$F$83,Calc!B38,Journal!$I$7:$I$83))</f>
        <v>0</v>
      </c>
      <c r="E38" s="15">
        <f ca="1">IF(B38=0,0,SUMIF(Journal!$G$7:$M112,Calc!B38,Journal!$I$7:$I$83))</f>
        <v>0</v>
      </c>
      <c r="F38" s="44">
        <f t="shared" ca="1" si="7"/>
        <v>0</v>
      </c>
      <c r="G38" s="15">
        <f t="shared" ca="1" si="8"/>
        <v>0</v>
      </c>
      <c r="H38" s="14" t="str">
        <f t="shared" ca="1" si="9"/>
        <v xml:space="preserve"> </v>
      </c>
      <c r="I38" s="43" t="str">
        <f t="shared" ca="1" si="10"/>
        <v xml:space="preserve"> </v>
      </c>
      <c r="J38" s="45" t="str">
        <f t="shared" ca="1" si="11"/>
        <v xml:space="preserve"> </v>
      </c>
      <c r="K38" s="48" t="str">
        <f t="shared" ca="1" si="12"/>
        <v xml:space="preserve"> </v>
      </c>
      <c r="L38" s="45" t="str">
        <f t="shared" ca="1" si="13"/>
        <v xml:space="preserve"> </v>
      </c>
      <c r="M38" s="48" t="str">
        <f t="shared" ca="1" si="14"/>
        <v xml:space="preserve"> </v>
      </c>
      <c r="N38" s="24"/>
      <c r="O38" s="12">
        <f t="shared" si="15"/>
        <v>10.00439999999999</v>
      </c>
      <c r="P38" s="12">
        <f t="shared" si="16"/>
        <v>9.0025999999999939</v>
      </c>
      <c r="Q38" s="12">
        <f t="shared" si="17"/>
        <v>13</v>
      </c>
      <c r="R38" s="12">
        <f t="shared" si="18"/>
        <v>6.3999999999999968E-3</v>
      </c>
      <c r="S38" s="12">
        <f t="shared" si="19"/>
        <v>3480</v>
      </c>
      <c r="T38" s="12" t="str">
        <f t="shared" si="20"/>
        <v>Hauswart AHV</v>
      </c>
      <c r="U38" s="43">
        <f ca="1">IF(OR(A38=Kontenplan!$C$3,A38=Kontenplan!$C$5),F38-G38,G38-F38)</f>
        <v>0</v>
      </c>
      <c r="V38" s="171">
        <f t="shared" si="3"/>
        <v>32</v>
      </c>
      <c r="W38" s="12">
        <f t="shared" si="4"/>
        <v>5</v>
      </c>
      <c r="X38" s="12">
        <f t="shared" si="5"/>
        <v>7</v>
      </c>
      <c r="Y38" s="12">
        <f>IF(Z38=0,VLOOKUP(W38,Kontenplan!$Y$9:$AA$551,3),"")</f>
        <v>0</v>
      </c>
      <c r="Z38" s="12">
        <f t="shared" si="21"/>
        <v>0</v>
      </c>
      <c r="AA38" s="12" t="str">
        <f t="shared" ca="1" si="22"/>
        <v>Gewinn</v>
      </c>
      <c r="AB38" s="46">
        <f t="shared" ca="1" si="23"/>
        <v>0</v>
      </c>
      <c r="AC38" s="46">
        <f t="shared" ca="1" si="24"/>
        <v>0</v>
      </c>
      <c r="AD38" s="47"/>
      <c r="AE38" s="12">
        <f>IF(AF38=0,VLOOKUP(X38,Kontenplan!$Z$9:$AB$551,3),"")</f>
        <v>0</v>
      </c>
      <c r="AF38" s="47">
        <f t="shared" si="25"/>
        <v>0</v>
      </c>
      <c r="AG38" s="12" t="str">
        <f t="shared" ca="1" si="26"/>
        <v>Gewinn</v>
      </c>
      <c r="AH38" s="46">
        <f t="shared" ca="1" si="27"/>
        <v>0</v>
      </c>
      <c r="AI38" s="46" t="str">
        <f t="shared" ca="1" si="28"/>
        <v/>
      </c>
      <c r="AJ38" s="46"/>
      <c r="AK38" s="147">
        <f t="shared" ca="1" si="29"/>
        <v>2.0022000000000046</v>
      </c>
      <c r="AL38" s="147">
        <f t="shared" si="30"/>
        <v>2.0025000000000053</v>
      </c>
      <c r="AM38" s="12" t="str">
        <f>IF(V38&lt;=AO$3,VLOOKUP(V38,Kontenplan!$A$9:$D$278,4),"")</f>
        <v/>
      </c>
      <c r="AN38" s="12">
        <f t="shared" si="31"/>
        <v>0</v>
      </c>
      <c r="AO38" s="12" t="str">
        <f t="shared" ca="1" si="32"/>
        <v/>
      </c>
      <c r="AP38" s="46" t="str">
        <f t="shared" ca="1" si="33"/>
        <v/>
      </c>
      <c r="AQ38" s="46" t="str">
        <f t="shared" ca="1" si="34"/>
        <v/>
      </c>
      <c r="AR38" s="46"/>
      <c r="AS38" s="147">
        <f t="shared" ca="1" si="35"/>
        <v>3.0021000000000044</v>
      </c>
      <c r="AT38" s="147">
        <f t="shared" si="36"/>
        <v>2.0026000000000055</v>
      </c>
      <c r="AU38" s="47" t="str">
        <f>IF(V38&lt;=AW$3,VLOOKUP(AO$3+V38,Kontenplan!$A$9:$D$278,4),"")</f>
        <v/>
      </c>
      <c r="AV38" s="12">
        <f t="shared" si="37"/>
        <v>0</v>
      </c>
      <c r="AW38" s="12" t="str">
        <f t="shared" ca="1" si="38"/>
        <v/>
      </c>
      <c r="AX38" s="46" t="str">
        <f t="shared" ca="1" si="6"/>
        <v/>
      </c>
      <c r="AY38" s="46" t="str">
        <f t="shared" ca="1" si="39"/>
        <v/>
      </c>
      <c r="BA38" s="12">
        <f>Kontenplan!R40</f>
        <v>3</v>
      </c>
      <c r="BB38" s="12">
        <f>Kontenplan!S40</f>
        <v>2</v>
      </c>
      <c r="BC38" s="12">
        <f>Kontenplan!T40</f>
        <v>3</v>
      </c>
      <c r="BD38" s="170">
        <f>Kontenplan!U40</f>
        <v>0</v>
      </c>
      <c r="BF38" s="24">
        <f ca="1">SUM(AP$7:AP38)</f>
        <v>0</v>
      </c>
      <c r="BG38" s="46">
        <f ca="1">SUM(AQ$7:AQ37)</f>
        <v>0</v>
      </c>
      <c r="BH38" s="24">
        <f t="shared" ca="1" si="40"/>
        <v>0</v>
      </c>
      <c r="BI38" s="24"/>
      <c r="BJ38" s="24">
        <f ca="1">SUM(AX$7:AX38)</f>
        <v>0</v>
      </c>
      <c r="BK38" s="24">
        <f ca="1">SUM(AY$7:AY37)</f>
        <v>0</v>
      </c>
      <c r="BL38" s="24">
        <f t="shared" ca="1" si="41"/>
        <v>0</v>
      </c>
      <c r="BN38" s="24">
        <f ca="1">SUM(AB$7:AB38)</f>
        <v>0</v>
      </c>
      <c r="BO38" s="46">
        <f ca="1">SUM(AC$7:AC37)</f>
        <v>0</v>
      </c>
      <c r="BP38" s="24">
        <f t="shared" ca="1" si="42"/>
        <v>0</v>
      </c>
      <c r="BR38" s="24">
        <f ca="1">SUM(AH$7:AH38)</f>
        <v>0</v>
      </c>
      <c r="BS38" s="46">
        <f ca="1">SUM(AI$7:AI37)</f>
        <v>0</v>
      </c>
      <c r="BT38" s="24">
        <f t="shared" ca="1" si="43"/>
        <v>0</v>
      </c>
    </row>
    <row r="39" spans="1:72" s="12" customFormat="1">
      <c r="A39" s="202" t="str">
        <f>Kontenplan!C41</f>
        <v>Aufwandskonto</v>
      </c>
      <c r="B39" s="224">
        <f>Kontenplan!E41</f>
        <v>3500</v>
      </c>
      <c r="C39" s="225" t="str">
        <f>Kontenplan!F41</f>
        <v>Gebäudeversicherung</v>
      </c>
      <c r="D39" s="43">
        <f>IF(B39=0,0,SUMIF(Journal!$F$7:$F$83,Calc!B39,Journal!$I$7:$I$83))</f>
        <v>0</v>
      </c>
      <c r="E39" s="15">
        <f ca="1">IF(B39=0,0,SUMIF(Journal!$G$7:$M113,Calc!B39,Journal!$I$7:$I$83))</f>
        <v>0</v>
      </c>
      <c r="F39" s="44">
        <f t="shared" ca="1" si="7"/>
        <v>0</v>
      </c>
      <c r="G39" s="15">
        <f t="shared" ca="1" si="8"/>
        <v>0</v>
      </c>
      <c r="H39" s="14" t="str">
        <f t="shared" ca="1" si="9"/>
        <v xml:space="preserve"> </v>
      </c>
      <c r="I39" s="43" t="str">
        <f t="shared" ca="1" si="10"/>
        <v xml:space="preserve"> </v>
      </c>
      <c r="J39" s="45" t="str">
        <f t="shared" ca="1" si="11"/>
        <v xml:space="preserve"> </v>
      </c>
      <c r="K39" s="48" t="str">
        <f t="shared" ca="1" si="12"/>
        <v xml:space="preserve"> </v>
      </c>
      <c r="L39" s="45" t="str">
        <f t="shared" ca="1" si="13"/>
        <v xml:space="preserve"> </v>
      </c>
      <c r="M39" s="48" t="str">
        <f t="shared" ca="1" si="14"/>
        <v xml:space="preserve"> </v>
      </c>
      <c r="N39" s="24"/>
      <c r="O39" s="12">
        <f t="shared" si="15"/>
        <v>10.004599999999989</v>
      </c>
      <c r="P39" s="12">
        <f t="shared" si="16"/>
        <v>9.0027999999999935</v>
      </c>
      <c r="Q39" s="12">
        <f t="shared" si="17"/>
        <v>14</v>
      </c>
      <c r="R39" s="12">
        <f t="shared" si="18"/>
        <v>6.5999999999999965E-3</v>
      </c>
      <c r="S39" s="12">
        <f t="shared" si="19"/>
        <v>3500</v>
      </c>
      <c r="T39" s="12" t="str">
        <f t="shared" si="20"/>
        <v>Gebäudeversicherung</v>
      </c>
      <c r="U39" s="43">
        <f ca="1">IF(OR(A39=Kontenplan!$C$3,A39=Kontenplan!$C$5),F39-G39,G39-F39)</f>
        <v>0</v>
      </c>
      <c r="V39" s="171">
        <f t="shared" si="3"/>
        <v>33</v>
      </c>
      <c r="W39" s="12">
        <f t="shared" si="4"/>
        <v>6</v>
      </c>
      <c r="X39" s="12">
        <f t="shared" si="5"/>
        <v>8</v>
      </c>
      <c r="Y39" s="12">
        <f>IF(Z39=0,VLOOKUP(W39,Kontenplan!$Y$9:$AA$551,3),"")</f>
        <v>0</v>
      </c>
      <c r="Z39" s="12">
        <f t="shared" si="21"/>
        <v>0</v>
      </c>
      <c r="AA39" s="12" t="str">
        <f t="shared" ca="1" si="22"/>
        <v>Total</v>
      </c>
      <c r="AB39" s="46" t="str">
        <f t="shared" ca="1" si="23"/>
        <v>c</v>
      </c>
      <c r="AC39" s="46">
        <f t="shared" ca="1" si="24"/>
        <v>0</v>
      </c>
      <c r="AD39" s="47"/>
      <c r="AE39" s="12">
        <f>IF(AF39=0,VLOOKUP(X39,Kontenplan!$Z$9:$AB$551,3),"")</f>
        <v>0</v>
      </c>
      <c r="AF39" s="47">
        <f t="shared" si="25"/>
        <v>0</v>
      </c>
      <c r="AG39" s="12" t="str">
        <f t="shared" ca="1" si="26"/>
        <v>Total</v>
      </c>
      <c r="AH39" s="46" t="str">
        <f t="shared" ca="1" si="27"/>
        <v>c</v>
      </c>
      <c r="AI39" s="46">
        <f t="shared" ca="1" si="28"/>
        <v>0</v>
      </c>
      <c r="AJ39" s="46"/>
      <c r="AK39" s="147">
        <f t="shared" ca="1" si="29"/>
        <v>2.0023000000000049</v>
      </c>
      <c r="AL39" s="147">
        <f t="shared" si="30"/>
        <v>2.0026000000000055</v>
      </c>
      <c r="AM39" s="12" t="str">
        <f>IF(V39&lt;=AO$3,VLOOKUP(V39,Kontenplan!$A$9:$D$278,4),"")</f>
        <v/>
      </c>
      <c r="AN39" s="12">
        <f t="shared" si="31"/>
        <v>0</v>
      </c>
      <c r="AO39" s="12" t="str">
        <f t="shared" ca="1" si="32"/>
        <v/>
      </c>
      <c r="AP39" s="46" t="str">
        <f t="shared" ca="1" si="33"/>
        <v/>
      </c>
      <c r="AQ39" s="46" t="str">
        <f t="shared" ca="1" si="34"/>
        <v/>
      </c>
      <c r="AR39" s="46"/>
      <c r="AS39" s="147">
        <f t="shared" ca="1" si="35"/>
        <v>3.0022000000000046</v>
      </c>
      <c r="AT39" s="147">
        <f t="shared" si="36"/>
        <v>2.0027000000000057</v>
      </c>
      <c r="AU39" s="47" t="str">
        <f>IF(V39&lt;=AW$3,VLOOKUP(AO$3+V39,Kontenplan!$A$9:$D$278,4),"")</f>
        <v/>
      </c>
      <c r="AV39" s="12">
        <f t="shared" si="37"/>
        <v>0</v>
      </c>
      <c r="AW39" s="12" t="str">
        <f t="shared" ca="1" si="38"/>
        <v/>
      </c>
      <c r="AX39" s="46" t="str">
        <f t="shared" ca="1" si="6"/>
        <v/>
      </c>
      <c r="AY39" s="46" t="str">
        <f t="shared" ca="1" si="39"/>
        <v/>
      </c>
      <c r="BA39" s="12">
        <f>Kontenplan!R41</f>
        <v>3</v>
      </c>
      <c r="BB39" s="12">
        <f>Kontenplan!S41</f>
        <v>2</v>
      </c>
      <c r="BC39" s="12">
        <f>Kontenplan!T41</f>
        <v>3</v>
      </c>
      <c r="BD39" s="170">
        <f>Kontenplan!U41</f>
        <v>0</v>
      </c>
      <c r="BF39" s="24">
        <f ca="1">SUM(AP$7:AP39)</f>
        <v>0</v>
      </c>
      <c r="BG39" s="46">
        <f ca="1">SUM(AQ$7:AQ38)</f>
        <v>0</v>
      </c>
      <c r="BH39" s="24">
        <f t="shared" ca="1" si="40"/>
        <v>0</v>
      </c>
      <c r="BI39" s="24"/>
      <c r="BJ39" s="24">
        <f ca="1">SUM(AX$7:AX39)</f>
        <v>0</v>
      </c>
      <c r="BK39" s="24">
        <f ca="1">SUM(AY$7:AY38)</f>
        <v>0</v>
      </c>
      <c r="BL39" s="24">
        <f t="shared" ca="1" si="41"/>
        <v>0</v>
      </c>
      <c r="BN39" s="24">
        <f ca="1">SUM(AB$7:AB39)</f>
        <v>0</v>
      </c>
      <c r="BO39" s="46">
        <f ca="1">SUM(AC$7:AC38)</f>
        <v>0</v>
      </c>
      <c r="BP39" s="24">
        <f t="shared" ca="1" si="42"/>
        <v>0</v>
      </c>
      <c r="BR39" s="24">
        <f ca="1">SUM(AH$7:AH39)</f>
        <v>0</v>
      </c>
      <c r="BS39" s="46">
        <f ca="1">SUM(AI$7:AI38)</f>
        <v>0</v>
      </c>
      <c r="BT39" s="24">
        <f t="shared" ca="1" si="43"/>
        <v>0</v>
      </c>
    </row>
    <row r="40" spans="1:72" s="12" customFormat="1">
      <c r="A40" s="202" t="str">
        <f>Kontenplan!C42</f>
        <v>Aufwandskonto</v>
      </c>
      <c r="B40" s="224">
        <f>Kontenplan!E42</f>
        <v>3550</v>
      </c>
      <c r="C40" s="225" t="str">
        <f>Kontenplan!F42</f>
        <v>evtl. Gebäudeversicherung II</v>
      </c>
      <c r="D40" s="43">
        <f>IF(B40=0,0,SUMIF(Journal!$F$7:$F$83,Calc!B40,Journal!$I$7:$I$83))</f>
        <v>0</v>
      </c>
      <c r="E40" s="15">
        <f ca="1">IF(B40=0,0,SUMIF(Journal!$G$7:$M114,Calc!B40,Journal!$I$7:$I$83))</f>
        <v>0</v>
      </c>
      <c r="F40" s="44">
        <f t="shared" ca="1" si="7"/>
        <v>0</v>
      </c>
      <c r="G40" s="15">
        <f t="shared" ca="1" si="8"/>
        <v>0</v>
      </c>
      <c r="H40" s="14" t="str">
        <f t="shared" ca="1" si="9"/>
        <v xml:space="preserve"> </v>
      </c>
      <c r="I40" s="43" t="str">
        <f t="shared" ca="1" si="10"/>
        <v xml:space="preserve"> </v>
      </c>
      <c r="J40" s="45" t="str">
        <f t="shared" ca="1" si="11"/>
        <v xml:space="preserve"> </v>
      </c>
      <c r="K40" s="48" t="str">
        <f t="shared" ca="1" si="12"/>
        <v xml:space="preserve"> </v>
      </c>
      <c r="L40" s="45" t="str">
        <f t="shared" ca="1" si="13"/>
        <v xml:space="preserve"> </v>
      </c>
      <c r="M40" s="48" t="str">
        <f t="shared" ca="1" si="14"/>
        <v xml:space="preserve"> </v>
      </c>
      <c r="N40" s="24"/>
      <c r="O40" s="12">
        <f t="shared" si="15"/>
        <v>10.004799999999989</v>
      </c>
      <c r="P40" s="12">
        <f t="shared" si="16"/>
        <v>9.002999999999993</v>
      </c>
      <c r="Q40" s="12">
        <f t="shared" si="17"/>
        <v>15</v>
      </c>
      <c r="R40" s="12">
        <f t="shared" si="18"/>
        <v>6.7999999999999962E-3</v>
      </c>
      <c r="S40" s="12">
        <f t="shared" si="19"/>
        <v>3550</v>
      </c>
      <c r="T40" s="12" t="str">
        <f t="shared" si="20"/>
        <v>evtl. Gebäudeversicherung II</v>
      </c>
      <c r="U40" s="43">
        <f ca="1">IF(OR(A40=Kontenplan!$C$3,A40=Kontenplan!$C$5),F40-G40,G40-F40)</f>
        <v>0</v>
      </c>
      <c r="V40" s="171">
        <f t="shared" si="3"/>
        <v>34</v>
      </c>
      <c r="W40" s="12">
        <f t="shared" si="4"/>
        <v>7</v>
      </c>
      <c r="X40" s="12">
        <f t="shared" si="5"/>
        <v>9</v>
      </c>
      <c r="Y40" s="12">
        <f>IF(Z40=0,VLOOKUP(W40,Kontenplan!$Y$9:$AA$551,3),"")</f>
        <v>0</v>
      </c>
      <c r="Z40" s="12">
        <f t="shared" si="21"/>
        <v>0</v>
      </c>
      <c r="AA40" s="12" t="str">
        <f t="shared" ca="1" si="22"/>
        <v/>
      </c>
      <c r="AB40" s="46" t="str">
        <f t="shared" ca="1" si="23"/>
        <v/>
      </c>
      <c r="AC40" s="46" t="str">
        <f t="shared" ca="1" si="24"/>
        <v/>
      </c>
      <c r="AD40" s="47"/>
      <c r="AE40" s="12">
        <f>IF(AF40=0,VLOOKUP(X40,Kontenplan!$Z$9:$AB$551,3),"")</f>
        <v>0</v>
      </c>
      <c r="AF40" s="47">
        <f t="shared" si="25"/>
        <v>0</v>
      </c>
      <c r="AG40" s="12" t="str">
        <f t="shared" ca="1" si="26"/>
        <v/>
      </c>
      <c r="AH40" s="46" t="str">
        <f t="shared" ca="1" si="27"/>
        <v/>
      </c>
      <c r="AI40" s="46" t="str">
        <f t="shared" ca="1" si="28"/>
        <v/>
      </c>
      <c r="AJ40" s="46"/>
      <c r="AK40" s="147">
        <f t="shared" ca="1" si="29"/>
        <v>2.0024000000000051</v>
      </c>
      <c r="AL40" s="147">
        <f t="shared" si="30"/>
        <v>2.0027000000000057</v>
      </c>
      <c r="AM40" s="12" t="str">
        <f>IF(V40&lt;=AO$3,VLOOKUP(V40,Kontenplan!$A$9:$D$278,4),"")</f>
        <v/>
      </c>
      <c r="AN40" s="12">
        <f t="shared" si="31"/>
        <v>0</v>
      </c>
      <c r="AO40" s="12" t="str">
        <f t="shared" ca="1" si="32"/>
        <v/>
      </c>
      <c r="AP40" s="46" t="str">
        <f t="shared" ca="1" si="33"/>
        <v/>
      </c>
      <c r="AQ40" s="46" t="str">
        <f t="shared" ca="1" si="34"/>
        <v/>
      </c>
      <c r="AR40" s="46"/>
      <c r="AS40" s="147">
        <f t="shared" ca="1" si="35"/>
        <v>3.0023000000000049</v>
      </c>
      <c r="AT40" s="147">
        <f t="shared" si="36"/>
        <v>2.0028000000000059</v>
      </c>
      <c r="AU40" s="47" t="str">
        <f>IF(V40&lt;=AW$3,VLOOKUP(AO$3+V40,Kontenplan!$A$9:$D$278,4),"")</f>
        <v/>
      </c>
      <c r="AV40" s="12">
        <f t="shared" si="37"/>
        <v>0</v>
      </c>
      <c r="AW40" s="12" t="str">
        <f t="shared" ca="1" si="38"/>
        <v/>
      </c>
      <c r="AX40" s="46" t="str">
        <f t="shared" ca="1" si="6"/>
        <v/>
      </c>
      <c r="AY40" s="46" t="str">
        <f t="shared" ca="1" si="39"/>
        <v/>
      </c>
      <c r="BA40" s="12">
        <f>Kontenplan!R42</f>
        <v>3</v>
      </c>
      <c r="BB40" s="12">
        <f>Kontenplan!S42</f>
        <v>2</v>
      </c>
      <c r="BC40" s="12">
        <f>Kontenplan!T42</f>
        <v>3</v>
      </c>
      <c r="BD40" s="170">
        <f>Kontenplan!U42</f>
        <v>0</v>
      </c>
      <c r="BF40" s="24">
        <f ca="1">SUM(AP$7:AP40)</f>
        <v>0</v>
      </c>
      <c r="BG40" s="46">
        <f ca="1">SUM(AQ$7:AQ39)</f>
        <v>0</v>
      </c>
      <c r="BH40" s="24">
        <f t="shared" ca="1" si="40"/>
        <v>0</v>
      </c>
      <c r="BI40" s="24"/>
      <c r="BJ40" s="24">
        <f ca="1">SUM(AX$7:AX40)</f>
        <v>0</v>
      </c>
      <c r="BK40" s="24">
        <f ca="1">SUM(AY$7:AY39)</f>
        <v>0</v>
      </c>
      <c r="BL40" s="24">
        <f t="shared" ca="1" si="41"/>
        <v>0</v>
      </c>
      <c r="BN40" s="24">
        <f ca="1">SUM(AB$7:AB40)</f>
        <v>0</v>
      </c>
      <c r="BO40" s="46">
        <f ca="1">SUM(AC$7:AC39)</f>
        <v>0</v>
      </c>
      <c r="BP40" s="24">
        <f t="shared" ca="1" si="42"/>
        <v>0</v>
      </c>
      <c r="BR40" s="24">
        <f ca="1">SUM(AH$7:AH40)</f>
        <v>0</v>
      </c>
      <c r="BS40" s="46">
        <f ca="1">SUM(AI$7:AI39)</f>
        <v>0</v>
      </c>
      <c r="BT40" s="24">
        <f t="shared" ca="1" si="43"/>
        <v>0</v>
      </c>
    </row>
    <row r="41" spans="1:72" s="12" customFormat="1">
      <c r="A41" s="202" t="str">
        <f>Kontenplan!C43</f>
        <v>Aufwandskonto</v>
      </c>
      <c r="B41" s="224">
        <f>Kontenplan!E43</f>
        <v>3600</v>
      </c>
      <c r="C41" s="225" t="str">
        <f>Kontenplan!F43</f>
        <v>Wartung Heizung</v>
      </c>
      <c r="D41" s="43">
        <f>IF(B41=0,0,SUMIF(Journal!$F$7:$F$83,Calc!B41,Journal!$I$7:$I$83))</f>
        <v>0</v>
      </c>
      <c r="E41" s="15">
        <f ca="1">IF(B41=0,0,SUMIF(Journal!$G$7:$M115,Calc!B41,Journal!$I$7:$I$83))</f>
        <v>0</v>
      </c>
      <c r="F41" s="44">
        <f t="shared" ca="1" si="7"/>
        <v>0</v>
      </c>
      <c r="G41" s="15">
        <f t="shared" ca="1" si="8"/>
        <v>0</v>
      </c>
      <c r="H41" s="14" t="str">
        <f t="shared" ca="1" si="9"/>
        <v xml:space="preserve"> </v>
      </c>
      <c r="I41" s="43" t="str">
        <f t="shared" ca="1" si="10"/>
        <v xml:space="preserve"> </v>
      </c>
      <c r="J41" s="45" t="str">
        <f t="shared" ca="1" si="11"/>
        <v xml:space="preserve"> </v>
      </c>
      <c r="K41" s="48" t="str">
        <f t="shared" ca="1" si="12"/>
        <v xml:space="preserve"> </v>
      </c>
      <c r="L41" s="45" t="str">
        <f t="shared" ca="1" si="13"/>
        <v xml:space="preserve"> </v>
      </c>
      <c r="M41" s="48" t="str">
        <f t="shared" ca="1" si="14"/>
        <v xml:space="preserve"> </v>
      </c>
      <c r="N41" s="24"/>
      <c r="O41" s="12">
        <f t="shared" si="15"/>
        <v>10.004999999999988</v>
      </c>
      <c r="P41" s="12">
        <f t="shared" si="16"/>
        <v>9.0031999999999925</v>
      </c>
      <c r="Q41" s="12">
        <f t="shared" si="17"/>
        <v>16</v>
      </c>
      <c r="R41" s="12">
        <f t="shared" si="18"/>
        <v>6.9999999999999958E-3</v>
      </c>
      <c r="S41" s="12">
        <f t="shared" si="19"/>
        <v>3600</v>
      </c>
      <c r="T41" s="12" t="str">
        <f t="shared" si="20"/>
        <v>Wartung Heizung</v>
      </c>
      <c r="U41" s="43">
        <f ca="1">IF(OR(A41=Kontenplan!$C$3,A41=Kontenplan!$C$5),F41-G41,G41-F41)</f>
        <v>0</v>
      </c>
      <c r="V41" s="171">
        <f t="shared" si="3"/>
        <v>35</v>
      </c>
      <c r="W41" s="12">
        <f t="shared" si="4"/>
        <v>8</v>
      </c>
      <c r="X41" s="12">
        <f t="shared" si="5"/>
        <v>10</v>
      </c>
      <c r="Y41" s="12">
        <f>IF(Z41=0,VLOOKUP(W41,Kontenplan!$Y$9:$AA$551,3),"")</f>
        <v>0</v>
      </c>
      <c r="Z41" s="12">
        <f t="shared" si="21"/>
        <v>0</v>
      </c>
      <c r="AA41" s="12" t="str">
        <f t="shared" ca="1" si="22"/>
        <v/>
      </c>
      <c r="AB41" s="46" t="str">
        <f t="shared" ca="1" si="23"/>
        <v/>
      </c>
      <c r="AC41" s="46" t="str">
        <f t="shared" ca="1" si="24"/>
        <v/>
      </c>
      <c r="AD41" s="47"/>
      <c r="AE41" s="12">
        <f>IF(AF41=0,VLOOKUP(X41,Kontenplan!$Z$9:$AB$551,3),"")</f>
        <v>0</v>
      </c>
      <c r="AF41" s="47">
        <f t="shared" si="25"/>
        <v>0</v>
      </c>
      <c r="AG41" s="12" t="str">
        <f t="shared" ca="1" si="26"/>
        <v/>
      </c>
      <c r="AH41" s="46" t="str">
        <f t="shared" ca="1" si="27"/>
        <v/>
      </c>
      <c r="AI41" s="46" t="str">
        <f t="shared" ca="1" si="28"/>
        <v/>
      </c>
      <c r="AJ41" s="46"/>
      <c r="AK41" s="147">
        <f t="shared" ca="1" si="29"/>
        <v>2.0025000000000053</v>
      </c>
      <c r="AL41" s="147">
        <f t="shared" si="30"/>
        <v>2.0028000000000059</v>
      </c>
      <c r="AM41" s="12" t="str">
        <f>IF(V41&lt;=AO$3,VLOOKUP(V41,Kontenplan!$A$9:$D$278,4),"")</f>
        <v/>
      </c>
      <c r="AN41" s="12">
        <f t="shared" si="31"/>
        <v>0</v>
      </c>
      <c r="AO41" s="12" t="str">
        <f t="shared" ca="1" si="32"/>
        <v/>
      </c>
      <c r="AP41" s="46" t="str">
        <f t="shared" ca="1" si="33"/>
        <v/>
      </c>
      <c r="AQ41" s="46" t="str">
        <f t="shared" ca="1" si="34"/>
        <v/>
      </c>
      <c r="AR41" s="46"/>
      <c r="AS41" s="147">
        <f t="shared" ca="1" si="35"/>
        <v>3.0024000000000051</v>
      </c>
      <c r="AT41" s="147">
        <f t="shared" si="36"/>
        <v>2.0029000000000061</v>
      </c>
      <c r="AU41" s="47" t="str">
        <f>IF(V41&lt;=AW$3,VLOOKUP(AO$3+V41,Kontenplan!$A$9:$D$278,4),"")</f>
        <v/>
      </c>
      <c r="AV41" s="12">
        <f t="shared" si="37"/>
        <v>0</v>
      </c>
      <c r="AW41" s="12" t="str">
        <f t="shared" ca="1" si="38"/>
        <v/>
      </c>
      <c r="AX41" s="46" t="str">
        <f t="shared" ca="1" si="6"/>
        <v/>
      </c>
      <c r="AY41" s="46" t="str">
        <f t="shared" ca="1" si="39"/>
        <v/>
      </c>
      <c r="BA41" s="12">
        <f>Kontenplan!R43</f>
        <v>3</v>
      </c>
      <c r="BB41" s="12">
        <f>Kontenplan!S43</f>
        <v>2</v>
      </c>
      <c r="BC41" s="12">
        <f>Kontenplan!T43</f>
        <v>3</v>
      </c>
      <c r="BD41" s="170">
        <f>Kontenplan!U43</f>
        <v>0</v>
      </c>
      <c r="BF41" s="24">
        <f ca="1">SUM(AP$7:AP41)</f>
        <v>0</v>
      </c>
      <c r="BG41" s="46">
        <f ca="1">SUM(AQ$7:AQ40)</f>
        <v>0</v>
      </c>
      <c r="BH41" s="24">
        <f t="shared" ca="1" si="40"/>
        <v>0</v>
      </c>
      <c r="BI41" s="24"/>
      <c r="BJ41" s="24">
        <f ca="1">SUM(AX$7:AX41)</f>
        <v>0</v>
      </c>
      <c r="BK41" s="24">
        <f ca="1">SUM(AY$7:AY40)</f>
        <v>0</v>
      </c>
      <c r="BL41" s="24">
        <f t="shared" ca="1" si="41"/>
        <v>0</v>
      </c>
      <c r="BN41" s="24">
        <f ca="1">SUM(AB$7:AB41)</f>
        <v>0</v>
      </c>
      <c r="BO41" s="46">
        <f ca="1">SUM(AC$7:AC40)</f>
        <v>0</v>
      </c>
      <c r="BP41" s="24">
        <f t="shared" ca="1" si="42"/>
        <v>0</v>
      </c>
      <c r="BR41" s="24">
        <f ca="1">SUM(AH$7:AH41)</f>
        <v>0</v>
      </c>
      <c r="BS41" s="46">
        <f ca="1">SUM(AI$7:AI40)</f>
        <v>0</v>
      </c>
      <c r="BT41" s="24">
        <f t="shared" ca="1" si="43"/>
        <v>0</v>
      </c>
    </row>
    <row r="42" spans="1:72" s="12" customFormat="1">
      <c r="A42" s="202" t="str">
        <f>Kontenplan!C44</f>
        <v>Aufwandskonto</v>
      </c>
      <c r="B42" s="224">
        <f>Kontenplan!E44</f>
        <v>3620</v>
      </c>
      <c r="C42" s="225" t="str">
        <f>Kontenplan!F44</f>
        <v>Wartung Lift</v>
      </c>
      <c r="D42" s="43">
        <f>IF(B42=0,0,SUMIF(Journal!$F$7:$F$83,Calc!B42,Journal!$I$7:$I$83))</f>
        <v>0</v>
      </c>
      <c r="E42" s="15">
        <f ca="1">IF(B42=0,0,SUMIF(Journal!$G$7:$M116,Calc!B42,Journal!$I$7:$I$83))</f>
        <v>0</v>
      </c>
      <c r="F42" s="44">
        <f t="shared" ca="1" si="7"/>
        <v>0</v>
      </c>
      <c r="G42" s="15">
        <f t="shared" ca="1" si="8"/>
        <v>0</v>
      </c>
      <c r="H42" s="14" t="str">
        <f t="shared" ca="1" si="9"/>
        <v xml:space="preserve"> </v>
      </c>
      <c r="I42" s="43" t="str">
        <f t="shared" ca="1" si="10"/>
        <v xml:space="preserve"> </v>
      </c>
      <c r="J42" s="45" t="str">
        <f t="shared" ca="1" si="11"/>
        <v xml:space="preserve"> </v>
      </c>
      <c r="K42" s="48" t="str">
        <f t="shared" ca="1" si="12"/>
        <v xml:space="preserve"> </v>
      </c>
      <c r="L42" s="45" t="str">
        <f t="shared" ca="1" si="13"/>
        <v xml:space="preserve"> </v>
      </c>
      <c r="M42" s="48" t="str">
        <f t="shared" ca="1" si="14"/>
        <v xml:space="preserve"> </v>
      </c>
      <c r="N42" s="24"/>
      <c r="O42" s="12">
        <f t="shared" si="15"/>
        <v>10.005199999999988</v>
      </c>
      <c r="P42" s="12">
        <f t="shared" si="16"/>
        <v>9.0033999999999921</v>
      </c>
      <c r="Q42" s="12">
        <f t="shared" si="17"/>
        <v>17</v>
      </c>
      <c r="R42" s="12">
        <f t="shared" si="18"/>
        <v>7.1999999999999955E-3</v>
      </c>
      <c r="S42" s="12">
        <f t="shared" si="19"/>
        <v>3620</v>
      </c>
      <c r="T42" s="12" t="str">
        <f t="shared" si="20"/>
        <v>Wartung Lift</v>
      </c>
      <c r="U42" s="43">
        <f ca="1">IF(OR(A42=Kontenplan!$C$3,A42=Kontenplan!$C$5),F42-G42,G42-F42)</f>
        <v>0</v>
      </c>
      <c r="V42" s="171">
        <f t="shared" si="3"/>
        <v>36</v>
      </c>
      <c r="W42" s="12">
        <f t="shared" si="4"/>
        <v>9</v>
      </c>
      <c r="X42" s="12">
        <f t="shared" si="5"/>
        <v>11</v>
      </c>
      <c r="Y42" s="12">
        <f>IF(Z42=0,VLOOKUP(W42,Kontenplan!$Y$9:$AA$551,3),"")</f>
        <v>0</v>
      </c>
      <c r="Z42" s="12">
        <f t="shared" si="21"/>
        <v>0</v>
      </c>
      <c r="AA42" s="12" t="str">
        <f t="shared" ca="1" si="22"/>
        <v/>
      </c>
      <c r="AB42" s="46" t="str">
        <f t="shared" ca="1" si="23"/>
        <v/>
      </c>
      <c r="AC42" s="46" t="str">
        <f t="shared" ca="1" si="24"/>
        <v/>
      </c>
      <c r="AD42" s="47"/>
      <c r="AE42" s="12">
        <f>IF(AF42=0,VLOOKUP(X42,Kontenplan!$Z$9:$AB$551,3),"")</f>
        <v>0</v>
      </c>
      <c r="AF42" s="47">
        <f t="shared" si="25"/>
        <v>0</v>
      </c>
      <c r="AG42" s="12" t="str">
        <f t="shared" ca="1" si="26"/>
        <v/>
      </c>
      <c r="AH42" s="46" t="str">
        <f t="shared" ca="1" si="27"/>
        <v/>
      </c>
      <c r="AI42" s="46" t="str">
        <f t="shared" ca="1" si="28"/>
        <v/>
      </c>
      <c r="AJ42" s="46"/>
      <c r="AK42" s="147">
        <f t="shared" ca="1" si="29"/>
        <v>2.0026000000000055</v>
      </c>
      <c r="AL42" s="147">
        <f t="shared" si="30"/>
        <v>2.0029000000000061</v>
      </c>
      <c r="AM42" s="12" t="str">
        <f>IF(V42&lt;=AO$3,VLOOKUP(V42,Kontenplan!$A$9:$D$278,4),"")</f>
        <v/>
      </c>
      <c r="AN42" s="12">
        <f t="shared" si="31"/>
        <v>0</v>
      </c>
      <c r="AO42" s="12" t="str">
        <f t="shared" ca="1" si="32"/>
        <v/>
      </c>
      <c r="AP42" s="46" t="str">
        <f t="shared" ca="1" si="33"/>
        <v/>
      </c>
      <c r="AQ42" s="46" t="str">
        <f t="shared" ca="1" si="34"/>
        <v/>
      </c>
      <c r="AR42" s="46"/>
      <c r="AS42" s="147">
        <f t="shared" ca="1" si="35"/>
        <v>3.0025000000000053</v>
      </c>
      <c r="AT42" s="147">
        <f t="shared" si="36"/>
        <v>2.0030000000000063</v>
      </c>
      <c r="AU42" s="47" t="str">
        <f>IF(V42&lt;=AW$3,VLOOKUP(AO$3+V42,Kontenplan!$A$9:$D$278,4),"")</f>
        <v/>
      </c>
      <c r="AV42" s="12">
        <f t="shared" si="37"/>
        <v>0</v>
      </c>
      <c r="AW42" s="12" t="str">
        <f t="shared" ca="1" si="38"/>
        <v/>
      </c>
      <c r="AX42" s="46" t="str">
        <f t="shared" ca="1" si="6"/>
        <v/>
      </c>
      <c r="AY42" s="46" t="str">
        <f t="shared" ca="1" si="39"/>
        <v/>
      </c>
      <c r="BA42" s="12">
        <f>Kontenplan!R44</f>
        <v>3</v>
      </c>
      <c r="BB42" s="12">
        <f>Kontenplan!S44</f>
        <v>2</v>
      </c>
      <c r="BC42" s="12">
        <f>Kontenplan!T44</f>
        <v>3</v>
      </c>
      <c r="BD42" s="170">
        <f>Kontenplan!U44</f>
        <v>0</v>
      </c>
      <c r="BF42" s="24">
        <f ca="1">SUM(AP$7:AP42)</f>
        <v>0</v>
      </c>
      <c r="BG42" s="46">
        <f ca="1">SUM(AQ$7:AQ41)</f>
        <v>0</v>
      </c>
      <c r="BH42" s="24">
        <f t="shared" ca="1" si="40"/>
        <v>0</v>
      </c>
      <c r="BI42" s="24"/>
      <c r="BJ42" s="24">
        <f ca="1">SUM(AX$7:AX42)</f>
        <v>0</v>
      </c>
      <c r="BK42" s="24">
        <f ca="1">SUM(AY$7:AY41)</f>
        <v>0</v>
      </c>
      <c r="BL42" s="24">
        <f t="shared" ca="1" si="41"/>
        <v>0</v>
      </c>
      <c r="BN42" s="24">
        <f ca="1">SUM(AB$7:AB42)</f>
        <v>0</v>
      </c>
      <c r="BO42" s="46">
        <f ca="1">SUM(AC$7:AC41)</f>
        <v>0</v>
      </c>
      <c r="BP42" s="24">
        <f t="shared" ca="1" si="42"/>
        <v>0</v>
      </c>
      <c r="BR42" s="24">
        <f ca="1">SUM(AH$7:AH42)</f>
        <v>0</v>
      </c>
      <c r="BS42" s="46">
        <f ca="1">SUM(AI$7:AI41)</f>
        <v>0</v>
      </c>
      <c r="BT42" s="24">
        <f t="shared" ca="1" si="43"/>
        <v>0</v>
      </c>
    </row>
    <row r="43" spans="1:72" s="12" customFormat="1">
      <c r="A43" s="202" t="str">
        <f>Kontenplan!C45</f>
        <v>Aufwandskonto</v>
      </c>
      <c r="B43" s="224">
        <f>Kontenplan!E45</f>
        <v>3640</v>
      </c>
      <c r="C43" s="225" t="str">
        <f>Kontenplan!F45</f>
        <v>Wartung Lüftung</v>
      </c>
      <c r="D43" s="43">
        <f>IF(B43=0,0,SUMIF(Journal!$F$7:$F$83,Calc!B43,Journal!$I$7:$I$83))</f>
        <v>0</v>
      </c>
      <c r="E43" s="15">
        <f ca="1">IF(B43=0,0,SUMIF(Journal!$G$7:$M117,Calc!B43,Journal!$I$7:$I$83))</f>
        <v>0</v>
      </c>
      <c r="F43" s="44">
        <f t="shared" ca="1" si="7"/>
        <v>0</v>
      </c>
      <c r="G43" s="15">
        <f t="shared" ca="1" si="8"/>
        <v>0</v>
      </c>
      <c r="H43" s="14" t="str">
        <f t="shared" ca="1" si="9"/>
        <v xml:space="preserve"> </v>
      </c>
      <c r="I43" s="43" t="str">
        <f t="shared" ca="1" si="10"/>
        <v xml:space="preserve"> </v>
      </c>
      <c r="J43" s="45" t="str">
        <f t="shared" ca="1" si="11"/>
        <v xml:space="preserve"> </v>
      </c>
      <c r="K43" s="48" t="str">
        <f t="shared" ca="1" si="12"/>
        <v xml:space="preserve"> </v>
      </c>
      <c r="L43" s="45" t="str">
        <f t="shared" ca="1" si="13"/>
        <v xml:space="preserve"> </v>
      </c>
      <c r="M43" s="48" t="str">
        <f t="shared" ca="1" si="14"/>
        <v xml:space="preserve"> </v>
      </c>
      <c r="N43" s="24"/>
      <c r="O43" s="12">
        <f t="shared" si="15"/>
        <v>10.005399999999987</v>
      </c>
      <c r="P43" s="12">
        <f t="shared" si="16"/>
        <v>9.0035999999999916</v>
      </c>
      <c r="Q43" s="12">
        <f t="shared" si="17"/>
        <v>18</v>
      </c>
      <c r="R43" s="12">
        <f t="shared" si="18"/>
        <v>7.3999999999999951E-3</v>
      </c>
      <c r="S43" s="12">
        <f t="shared" si="19"/>
        <v>3640</v>
      </c>
      <c r="T43" s="12" t="str">
        <f t="shared" si="20"/>
        <v>Wartung Lüftung</v>
      </c>
      <c r="U43" s="43">
        <f ca="1">IF(OR(A43=Kontenplan!$C$3,A43=Kontenplan!$C$5),F43-G43,G43-F43)</f>
        <v>0</v>
      </c>
      <c r="V43" s="171">
        <f t="shared" si="3"/>
        <v>37</v>
      </c>
      <c r="W43" s="12">
        <f t="shared" si="4"/>
        <v>10</v>
      </c>
      <c r="X43" s="12">
        <f t="shared" si="5"/>
        <v>12</v>
      </c>
      <c r="Y43" s="12">
        <f>IF(Z43=0,VLOOKUP(W43,Kontenplan!$Y$9:$AA$551,3),"")</f>
        <v>0</v>
      </c>
      <c r="Z43" s="12">
        <f t="shared" si="21"/>
        <v>0</v>
      </c>
      <c r="AA43" s="12" t="str">
        <f t="shared" ca="1" si="22"/>
        <v/>
      </c>
      <c r="AB43" s="46" t="str">
        <f t="shared" ca="1" si="23"/>
        <v/>
      </c>
      <c r="AC43" s="46" t="str">
        <f t="shared" ca="1" si="24"/>
        <v/>
      </c>
      <c r="AD43" s="47"/>
      <c r="AE43" s="12">
        <f>IF(AF43=0,VLOOKUP(X43,Kontenplan!$Z$9:$AB$551,3),"")</f>
        <v>0</v>
      </c>
      <c r="AF43" s="47">
        <f t="shared" si="25"/>
        <v>0</v>
      </c>
      <c r="AG43" s="12" t="str">
        <f t="shared" ca="1" si="26"/>
        <v/>
      </c>
      <c r="AH43" s="46" t="str">
        <f t="shared" ca="1" si="27"/>
        <v/>
      </c>
      <c r="AI43" s="46" t="str">
        <f t="shared" ca="1" si="28"/>
        <v/>
      </c>
      <c r="AJ43" s="46"/>
      <c r="AK43" s="147">
        <f t="shared" ca="1" si="29"/>
        <v>2.0027000000000057</v>
      </c>
      <c r="AL43" s="147">
        <f t="shared" si="30"/>
        <v>2.0030000000000063</v>
      </c>
      <c r="AM43" s="12" t="str">
        <f>IF(V43&lt;=AO$3,VLOOKUP(V43,Kontenplan!$A$9:$D$278,4),"")</f>
        <v/>
      </c>
      <c r="AN43" s="12">
        <f t="shared" si="31"/>
        <v>0</v>
      </c>
      <c r="AO43" s="12" t="str">
        <f t="shared" ca="1" si="32"/>
        <v/>
      </c>
      <c r="AP43" s="46" t="str">
        <f t="shared" ca="1" si="33"/>
        <v/>
      </c>
      <c r="AQ43" s="46" t="str">
        <f t="shared" ca="1" si="34"/>
        <v/>
      </c>
      <c r="AR43" s="46"/>
      <c r="AS43" s="147">
        <f t="shared" ca="1" si="35"/>
        <v>3.0026000000000055</v>
      </c>
      <c r="AT43" s="147">
        <f t="shared" si="36"/>
        <v>2.0031000000000065</v>
      </c>
      <c r="AU43" s="47" t="str">
        <f>IF(V43&lt;=AW$3,VLOOKUP(AO$3+V43,Kontenplan!$A$9:$D$278,4),"")</f>
        <v/>
      </c>
      <c r="AV43" s="12">
        <f t="shared" si="37"/>
        <v>0</v>
      </c>
      <c r="AW43" s="12" t="str">
        <f t="shared" ca="1" si="38"/>
        <v/>
      </c>
      <c r="AX43" s="46" t="str">
        <f t="shared" ca="1" si="6"/>
        <v/>
      </c>
      <c r="AY43" s="46" t="str">
        <f t="shared" ca="1" si="39"/>
        <v/>
      </c>
      <c r="BA43" s="12">
        <f>Kontenplan!R45</f>
        <v>3</v>
      </c>
      <c r="BB43" s="12">
        <f>Kontenplan!S45</f>
        <v>2</v>
      </c>
      <c r="BC43" s="12">
        <f>Kontenplan!T45</f>
        <v>3</v>
      </c>
      <c r="BD43" s="170">
        <f>Kontenplan!U45</f>
        <v>0</v>
      </c>
      <c r="BF43" s="24">
        <f ca="1">SUM(AP$7:AP43)</f>
        <v>0</v>
      </c>
      <c r="BG43" s="46">
        <f ca="1">SUM(AQ$7:AQ42)</f>
        <v>0</v>
      </c>
      <c r="BH43" s="24">
        <f t="shared" ca="1" si="40"/>
        <v>0</v>
      </c>
      <c r="BI43" s="24"/>
      <c r="BJ43" s="24">
        <f ca="1">SUM(AX$7:AX43)</f>
        <v>0</v>
      </c>
      <c r="BK43" s="24">
        <f ca="1">SUM(AY$7:AY42)</f>
        <v>0</v>
      </c>
      <c r="BL43" s="24">
        <f t="shared" ca="1" si="41"/>
        <v>0</v>
      </c>
      <c r="BN43" s="24">
        <f ca="1">SUM(AB$7:AB43)</f>
        <v>0</v>
      </c>
      <c r="BO43" s="46">
        <f ca="1">SUM(AC$7:AC42)</f>
        <v>0</v>
      </c>
      <c r="BP43" s="24">
        <f t="shared" ca="1" si="42"/>
        <v>0</v>
      </c>
      <c r="BR43" s="24">
        <f ca="1">SUM(AH$7:AH43)</f>
        <v>0</v>
      </c>
      <c r="BS43" s="46">
        <f ca="1">SUM(AI$7:AI42)</f>
        <v>0</v>
      </c>
      <c r="BT43" s="24">
        <f t="shared" ca="1" si="43"/>
        <v>0</v>
      </c>
    </row>
    <row r="44" spans="1:72" s="12" customFormat="1">
      <c r="A44" s="202" t="str">
        <f>Kontenplan!C46</f>
        <v>Aufwandskonto</v>
      </c>
      <c r="B44" s="224">
        <f>Kontenplan!E46</f>
        <v>3660</v>
      </c>
      <c r="C44" s="225" t="str">
        <f>Kontenplan!F46</f>
        <v>Wartung Flachdach</v>
      </c>
      <c r="D44" s="43">
        <f>IF(B44=0,0,SUMIF(Journal!$F$7:$F$83,Calc!B44,Journal!$I$7:$I$83))</f>
        <v>0</v>
      </c>
      <c r="E44" s="15">
        <f ca="1">IF(B44=0,0,SUMIF(Journal!$G$7:$M118,Calc!B44,Journal!$I$7:$I$83))</f>
        <v>0</v>
      </c>
      <c r="F44" s="44">
        <f t="shared" ca="1" si="7"/>
        <v>0</v>
      </c>
      <c r="G44" s="15">
        <f t="shared" ca="1" si="8"/>
        <v>0</v>
      </c>
      <c r="H44" s="14" t="str">
        <f t="shared" ca="1" si="9"/>
        <v xml:space="preserve"> </v>
      </c>
      <c r="I44" s="43" t="str">
        <f t="shared" ca="1" si="10"/>
        <v xml:space="preserve"> </v>
      </c>
      <c r="J44" s="45" t="str">
        <f t="shared" ca="1" si="11"/>
        <v xml:space="preserve"> </v>
      </c>
      <c r="K44" s="48" t="str">
        <f t="shared" ca="1" si="12"/>
        <v xml:space="preserve"> </v>
      </c>
      <c r="L44" s="45" t="str">
        <f t="shared" ca="1" si="13"/>
        <v xml:space="preserve"> </v>
      </c>
      <c r="M44" s="48" t="str">
        <f t="shared" ca="1" si="14"/>
        <v xml:space="preserve"> </v>
      </c>
      <c r="N44" s="24"/>
      <c r="O44" s="12">
        <f t="shared" si="15"/>
        <v>10.005599999999987</v>
      </c>
      <c r="P44" s="12">
        <f t="shared" si="16"/>
        <v>9.0037999999999911</v>
      </c>
      <c r="Q44" s="12">
        <f t="shared" si="17"/>
        <v>19</v>
      </c>
      <c r="R44" s="12">
        <f t="shared" si="18"/>
        <v>7.5999999999999948E-3</v>
      </c>
      <c r="S44" s="12">
        <f t="shared" si="19"/>
        <v>3660</v>
      </c>
      <c r="T44" s="12" t="str">
        <f t="shared" si="20"/>
        <v>Wartung Flachdach</v>
      </c>
      <c r="U44" s="43">
        <f ca="1">IF(OR(A44=Kontenplan!$C$3,A44=Kontenplan!$C$5),F44-G44,G44-F44)</f>
        <v>0</v>
      </c>
      <c r="V44" s="171">
        <f t="shared" si="3"/>
        <v>38</v>
      </c>
      <c r="W44" s="12">
        <f t="shared" si="4"/>
        <v>11</v>
      </c>
      <c r="X44" s="12">
        <f t="shared" si="5"/>
        <v>13</v>
      </c>
      <c r="Y44" s="12">
        <f>IF(Z44=0,VLOOKUP(W44,Kontenplan!$Y$9:$AA$551,3),"")</f>
        <v>0</v>
      </c>
      <c r="Z44" s="12">
        <f t="shared" si="21"/>
        <v>0</v>
      </c>
      <c r="AA44" s="12" t="str">
        <f t="shared" ca="1" si="22"/>
        <v/>
      </c>
      <c r="AB44" s="46" t="str">
        <f t="shared" ca="1" si="23"/>
        <v/>
      </c>
      <c r="AC44" s="46" t="str">
        <f t="shared" ca="1" si="24"/>
        <v/>
      </c>
      <c r="AD44" s="47"/>
      <c r="AE44" s="12">
        <f>IF(AF44=0,VLOOKUP(X44,Kontenplan!$Z$9:$AB$551,3),"")</f>
        <v>0</v>
      </c>
      <c r="AF44" s="47">
        <f t="shared" si="25"/>
        <v>0</v>
      </c>
      <c r="AG44" s="12" t="str">
        <f t="shared" ca="1" si="26"/>
        <v/>
      </c>
      <c r="AH44" s="46" t="str">
        <f t="shared" ca="1" si="27"/>
        <v/>
      </c>
      <c r="AI44" s="46" t="str">
        <f t="shared" ca="1" si="28"/>
        <v/>
      </c>
      <c r="AJ44" s="46"/>
      <c r="AK44" s="147">
        <f t="shared" ca="1" si="29"/>
        <v>2.0028000000000059</v>
      </c>
      <c r="AL44" s="147">
        <f t="shared" si="30"/>
        <v>2.0031000000000065</v>
      </c>
      <c r="AM44" s="12" t="str">
        <f>IF(V44&lt;=AO$3,VLOOKUP(V44,Kontenplan!$A$9:$D$278,4),"")</f>
        <v/>
      </c>
      <c r="AN44" s="12">
        <f t="shared" si="31"/>
        <v>0</v>
      </c>
      <c r="AO44" s="12" t="str">
        <f t="shared" ca="1" si="32"/>
        <v/>
      </c>
      <c r="AP44" s="46" t="str">
        <f t="shared" ca="1" si="33"/>
        <v/>
      </c>
      <c r="AQ44" s="46" t="str">
        <f t="shared" ca="1" si="34"/>
        <v/>
      </c>
      <c r="AR44" s="46"/>
      <c r="AS44" s="147">
        <f t="shared" ca="1" si="35"/>
        <v>3.0027000000000057</v>
      </c>
      <c r="AT44" s="147">
        <f t="shared" si="36"/>
        <v>2.0032000000000068</v>
      </c>
      <c r="AU44" s="47" t="str">
        <f>IF(V44&lt;=AW$3,VLOOKUP(AO$3+V44,Kontenplan!$A$9:$D$278,4),"")</f>
        <v/>
      </c>
      <c r="AV44" s="12">
        <f t="shared" si="37"/>
        <v>0</v>
      </c>
      <c r="AW44" s="12" t="str">
        <f t="shared" ca="1" si="38"/>
        <v/>
      </c>
      <c r="AX44" s="46" t="str">
        <f t="shared" ca="1" si="6"/>
        <v/>
      </c>
      <c r="AY44" s="46" t="str">
        <f t="shared" ca="1" si="39"/>
        <v/>
      </c>
      <c r="BA44" s="12">
        <f>Kontenplan!R46</f>
        <v>3</v>
      </c>
      <c r="BB44" s="12">
        <f>Kontenplan!S46</f>
        <v>2</v>
      </c>
      <c r="BC44" s="12">
        <f>Kontenplan!T46</f>
        <v>3</v>
      </c>
      <c r="BD44" s="170">
        <f>Kontenplan!U46</f>
        <v>0</v>
      </c>
      <c r="BF44" s="24">
        <f ca="1">SUM(AP$7:AP44)</f>
        <v>0</v>
      </c>
      <c r="BG44" s="46">
        <f ca="1">SUM(AQ$7:AQ43)</f>
        <v>0</v>
      </c>
      <c r="BH44" s="24">
        <f t="shared" ca="1" si="40"/>
        <v>0</v>
      </c>
      <c r="BI44" s="24"/>
      <c r="BJ44" s="24">
        <f ca="1">SUM(AX$7:AX44)</f>
        <v>0</v>
      </c>
      <c r="BK44" s="24">
        <f ca="1">SUM(AY$7:AY43)</f>
        <v>0</v>
      </c>
      <c r="BL44" s="24">
        <f t="shared" ca="1" si="41"/>
        <v>0</v>
      </c>
      <c r="BN44" s="24">
        <f ca="1">SUM(AB$7:AB44)</f>
        <v>0</v>
      </c>
      <c r="BO44" s="46">
        <f ca="1">SUM(AC$7:AC43)</f>
        <v>0</v>
      </c>
      <c r="BP44" s="24">
        <f t="shared" ca="1" si="42"/>
        <v>0</v>
      </c>
      <c r="BR44" s="24">
        <f ca="1">SUM(AH$7:AH44)</f>
        <v>0</v>
      </c>
      <c r="BS44" s="46">
        <f ca="1">SUM(AI$7:AI43)</f>
        <v>0</v>
      </c>
      <c r="BT44" s="24">
        <f t="shared" ca="1" si="43"/>
        <v>0</v>
      </c>
    </row>
    <row r="45" spans="1:72" s="12" customFormat="1">
      <c r="A45" s="202" t="str">
        <f>Kontenplan!C47</f>
        <v>Aufwandskonto</v>
      </c>
      <c r="B45" s="224">
        <f>Kontenplan!E47</f>
        <v>3680</v>
      </c>
      <c r="C45" s="225" t="str">
        <f>Kontenplan!F47</f>
        <v>Wartung div.</v>
      </c>
      <c r="D45" s="43">
        <f>IF(B45=0,0,SUMIF(Journal!$F$7:$F$83,Calc!B45,Journal!$I$7:$I$83))</f>
        <v>0</v>
      </c>
      <c r="E45" s="15">
        <f ca="1">IF(B45=0,0,SUMIF(Journal!$G$7:$M119,Calc!B45,Journal!$I$7:$I$83))</f>
        <v>0</v>
      </c>
      <c r="F45" s="44">
        <f t="shared" ca="1" si="7"/>
        <v>0</v>
      </c>
      <c r="G45" s="15">
        <f t="shared" ca="1" si="8"/>
        <v>0</v>
      </c>
      <c r="H45" s="14" t="str">
        <f t="shared" ca="1" si="9"/>
        <v xml:space="preserve"> </v>
      </c>
      <c r="I45" s="43" t="str">
        <f t="shared" ca="1" si="10"/>
        <v xml:space="preserve"> </v>
      </c>
      <c r="J45" s="45" t="str">
        <f t="shared" ca="1" si="11"/>
        <v xml:space="preserve"> </v>
      </c>
      <c r="K45" s="48" t="str">
        <f t="shared" ca="1" si="12"/>
        <v xml:space="preserve"> </v>
      </c>
      <c r="L45" s="45" t="str">
        <f t="shared" ca="1" si="13"/>
        <v xml:space="preserve"> </v>
      </c>
      <c r="M45" s="48" t="str">
        <f t="shared" ca="1" si="14"/>
        <v xml:space="preserve"> </v>
      </c>
      <c r="N45" s="24"/>
      <c r="O45" s="12">
        <f t="shared" si="15"/>
        <v>10.005799999999986</v>
      </c>
      <c r="P45" s="12">
        <f t="shared" si="16"/>
        <v>9.0039999999999907</v>
      </c>
      <c r="Q45" s="12">
        <f t="shared" si="17"/>
        <v>20</v>
      </c>
      <c r="R45" s="12">
        <f t="shared" si="18"/>
        <v>7.7999999999999944E-3</v>
      </c>
      <c r="S45" s="12">
        <f t="shared" si="19"/>
        <v>3680</v>
      </c>
      <c r="T45" s="12" t="str">
        <f t="shared" si="20"/>
        <v>Wartung div.</v>
      </c>
      <c r="U45" s="43">
        <f ca="1">IF(OR(A45=Kontenplan!$C$3,A45=Kontenplan!$C$5),F45-G45,G45-F45)</f>
        <v>0</v>
      </c>
      <c r="V45" s="171">
        <f t="shared" si="3"/>
        <v>39</v>
      </c>
      <c r="W45" s="12">
        <f t="shared" si="4"/>
        <v>12</v>
      </c>
      <c r="X45" s="12">
        <f t="shared" si="5"/>
        <v>14</v>
      </c>
      <c r="Y45" s="12">
        <f>IF(Z45=0,VLOOKUP(W45,Kontenplan!$Y$9:$AA$551,3),"")</f>
        <v>0</v>
      </c>
      <c r="Z45" s="12">
        <f t="shared" si="21"/>
        <v>0</v>
      </c>
      <c r="AA45" s="12" t="str">
        <f t="shared" ca="1" si="22"/>
        <v/>
      </c>
      <c r="AB45" s="46" t="str">
        <f t="shared" ca="1" si="23"/>
        <v/>
      </c>
      <c r="AC45" s="46" t="str">
        <f t="shared" ca="1" si="24"/>
        <v/>
      </c>
      <c r="AD45" s="47"/>
      <c r="AE45" s="12">
        <f>IF(AF45=0,VLOOKUP(X45,Kontenplan!$Z$9:$AB$551,3),"")</f>
        <v>0</v>
      </c>
      <c r="AF45" s="47">
        <f t="shared" si="25"/>
        <v>0</v>
      </c>
      <c r="AG45" s="12" t="str">
        <f t="shared" ca="1" si="26"/>
        <v/>
      </c>
      <c r="AH45" s="46" t="str">
        <f t="shared" ca="1" si="27"/>
        <v/>
      </c>
      <c r="AI45" s="46" t="str">
        <f t="shared" ca="1" si="28"/>
        <v/>
      </c>
      <c r="AJ45" s="46"/>
      <c r="AK45" s="147">
        <f t="shared" ca="1" si="29"/>
        <v>2.0029000000000061</v>
      </c>
      <c r="AL45" s="147">
        <f t="shared" si="30"/>
        <v>2.0032000000000068</v>
      </c>
      <c r="AM45" s="12" t="str">
        <f>IF(V45&lt;=AO$3,VLOOKUP(V45,Kontenplan!$A$9:$D$278,4),"")</f>
        <v/>
      </c>
      <c r="AN45" s="12">
        <f t="shared" si="31"/>
        <v>0</v>
      </c>
      <c r="AO45" s="12" t="str">
        <f t="shared" ca="1" si="32"/>
        <v/>
      </c>
      <c r="AP45" s="46" t="str">
        <f t="shared" ca="1" si="33"/>
        <v/>
      </c>
      <c r="AQ45" s="46" t="str">
        <f t="shared" ca="1" si="34"/>
        <v/>
      </c>
      <c r="AR45" s="46"/>
      <c r="AS45" s="147">
        <f t="shared" ca="1" si="35"/>
        <v>3.0028000000000059</v>
      </c>
      <c r="AT45" s="147">
        <f t="shared" si="36"/>
        <v>2.003300000000007</v>
      </c>
      <c r="AU45" s="47" t="str">
        <f>IF(V45&lt;=AW$3,VLOOKUP(AO$3+V45,Kontenplan!$A$9:$D$278,4),"")</f>
        <v/>
      </c>
      <c r="AV45" s="12">
        <f t="shared" si="37"/>
        <v>0</v>
      </c>
      <c r="AW45" s="12" t="str">
        <f t="shared" ca="1" si="38"/>
        <v/>
      </c>
      <c r="AX45" s="46" t="str">
        <f t="shared" ca="1" si="6"/>
        <v/>
      </c>
      <c r="AY45" s="46" t="str">
        <f t="shared" ca="1" si="39"/>
        <v/>
      </c>
      <c r="BA45" s="12">
        <f>Kontenplan!R47</f>
        <v>3</v>
      </c>
      <c r="BB45" s="12">
        <f>Kontenplan!S47</f>
        <v>2</v>
      </c>
      <c r="BC45" s="12">
        <f>Kontenplan!T47</f>
        <v>3</v>
      </c>
      <c r="BD45" s="170">
        <f>Kontenplan!U47</f>
        <v>0</v>
      </c>
      <c r="BF45" s="24">
        <f ca="1">SUM(AP$7:AP45)</f>
        <v>0</v>
      </c>
      <c r="BG45" s="46">
        <f ca="1">SUM(AQ$7:AQ44)</f>
        <v>0</v>
      </c>
      <c r="BH45" s="24">
        <f t="shared" ca="1" si="40"/>
        <v>0</v>
      </c>
      <c r="BI45" s="24"/>
      <c r="BJ45" s="24">
        <f ca="1">SUM(AX$7:AX45)</f>
        <v>0</v>
      </c>
      <c r="BK45" s="24">
        <f ca="1">SUM(AY$7:AY44)</f>
        <v>0</v>
      </c>
      <c r="BL45" s="24">
        <f t="shared" ca="1" si="41"/>
        <v>0</v>
      </c>
      <c r="BN45" s="24">
        <f ca="1">SUM(AB$7:AB45)</f>
        <v>0</v>
      </c>
      <c r="BO45" s="46">
        <f ca="1">SUM(AC$7:AC44)</f>
        <v>0</v>
      </c>
      <c r="BP45" s="24">
        <f t="shared" ca="1" si="42"/>
        <v>0</v>
      </c>
      <c r="BR45" s="24">
        <f ca="1">SUM(AH$7:AH45)</f>
        <v>0</v>
      </c>
      <c r="BS45" s="46">
        <f ca="1">SUM(AI$7:AI44)</f>
        <v>0</v>
      </c>
      <c r="BT45" s="24">
        <f t="shared" ca="1" si="43"/>
        <v>0</v>
      </c>
    </row>
    <row r="46" spans="1:72" s="12" customFormat="1">
      <c r="A46" s="202" t="str">
        <f>Kontenplan!C48</f>
        <v>Aufwandskonto</v>
      </c>
      <c r="B46" s="224">
        <f>Kontenplan!E48</f>
        <v>3700</v>
      </c>
      <c r="C46" s="225" t="str">
        <f>Kontenplan!F48</f>
        <v>Reinigungsmittel (Hauswart)</v>
      </c>
      <c r="D46" s="43">
        <f>IF(B46=0,0,SUMIF(Journal!$F$7:$F$83,Calc!B46,Journal!$I$7:$I$83))</f>
        <v>0</v>
      </c>
      <c r="E46" s="15">
        <f ca="1">IF(B46=0,0,SUMIF(Journal!$G$7:$M120,Calc!B46,Journal!$I$7:$I$83))</f>
        <v>0</v>
      </c>
      <c r="F46" s="44">
        <f t="shared" ca="1" si="7"/>
        <v>0</v>
      </c>
      <c r="G46" s="15">
        <f t="shared" ca="1" si="8"/>
        <v>0</v>
      </c>
      <c r="H46" s="14" t="str">
        <f t="shared" ca="1" si="9"/>
        <v xml:space="preserve"> </v>
      </c>
      <c r="I46" s="43" t="str">
        <f t="shared" ca="1" si="10"/>
        <v xml:space="preserve"> </v>
      </c>
      <c r="J46" s="45" t="str">
        <f t="shared" ca="1" si="11"/>
        <v xml:space="preserve"> </v>
      </c>
      <c r="K46" s="48" t="str">
        <f t="shared" ca="1" si="12"/>
        <v xml:space="preserve"> </v>
      </c>
      <c r="L46" s="45" t="str">
        <f t="shared" ca="1" si="13"/>
        <v xml:space="preserve"> </v>
      </c>
      <c r="M46" s="48" t="str">
        <f t="shared" ca="1" si="14"/>
        <v xml:space="preserve"> </v>
      </c>
      <c r="N46" s="24"/>
      <c r="O46" s="12">
        <f t="shared" si="15"/>
        <v>10.005999999999986</v>
      </c>
      <c r="P46" s="12">
        <f t="shared" si="16"/>
        <v>9.0041999999999902</v>
      </c>
      <c r="Q46" s="12">
        <f t="shared" si="17"/>
        <v>21</v>
      </c>
      <c r="R46" s="12">
        <f t="shared" si="18"/>
        <v>7.999999999999995E-3</v>
      </c>
      <c r="S46" s="12">
        <f t="shared" si="19"/>
        <v>3700</v>
      </c>
      <c r="T46" s="12" t="str">
        <f t="shared" si="20"/>
        <v>Reinigungsmittel (Hauswart)</v>
      </c>
      <c r="U46" s="43">
        <f ca="1">IF(OR(A46=Kontenplan!$C$3,A46=Kontenplan!$C$5),F46-G46,G46-F46)</f>
        <v>0</v>
      </c>
      <c r="V46" s="171">
        <f t="shared" si="3"/>
        <v>40</v>
      </c>
      <c r="W46" s="12">
        <f t="shared" si="4"/>
        <v>13</v>
      </c>
      <c r="X46" s="12">
        <f t="shared" si="5"/>
        <v>15</v>
      </c>
      <c r="Y46" s="12">
        <f>IF(Z46=0,VLOOKUP(W46,Kontenplan!$Y$9:$AA$551,3),"")</f>
        <v>0</v>
      </c>
      <c r="Z46" s="12">
        <f t="shared" si="21"/>
        <v>0</v>
      </c>
      <c r="AA46" s="12" t="str">
        <f t="shared" ca="1" si="22"/>
        <v/>
      </c>
      <c r="AB46" s="46" t="str">
        <f t="shared" ca="1" si="23"/>
        <v/>
      </c>
      <c r="AC46" s="46" t="str">
        <f t="shared" ca="1" si="24"/>
        <v/>
      </c>
      <c r="AD46" s="47"/>
      <c r="AE46" s="12">
        <f>IF(AF46=0,VLOOKUP(X46,Kontenplan!$Z$9:$AB$551,3),"")</f>
        <v>0</v>
      </c>
      <c r="AF46" s="47">
        <f t="shared" si="25"/>
        <v>0</v>
      </c>
      <c r="AG46" s="12" t="str">
        <f t="shared" ca="1" si="26"/>
        <v/>
      </c>
      <c r="AH46" s="46" t="str">
        <f t="shared" ca="1" si="27"/>
        <v/>
      </c>
      <c r="AI46" s="46" t="str">
        <f t="shared" ca="1" si="28"/>
        <v/>
      </c>
      <c r="AJ46" s="46"/>
      <c r="AK46" s="147">
        <f t="shared" ca="1" si="29"/>
        <v>2.0030000000000063</v>
      </c>
      <c r="AL46" s="147">
        <f t="shared" si="30"/>
        <v>2.003300000000007</v>
      </c>
      <c r="AM46" s="12" t="str">
        <f>IF(V46&lt;=AO$3,VLOOKUP(V46,Kontenplan!$A$9:$D$278,4),"")</f>
        <v/>
      </c>
      <c r="AN46" s="12">
        <f t="shared" si="31"/>
        <v>0</v>
      </c>
      <c r="AO46" s="12" t="str">
        <f t="shared" ca="1" si="32"/>
        <v/>
      </c>
      <c r="AP46" s="46" t="str">
        <f t="shared" ca="1" si="33"/>
        <v/>
      </c>
      <c r="AQ46" s="46" t="str">
        <f t="shared" ca="1" si="34"/>
        <v/>
      </c>
      <c r="AR46" s="46"/>
      <c r="AS46" s="147">
        <f t="shared" ca="1" si="35"/>
        <v>3.0029000000000061</v>
      </c>
      <c r="AT46" s="147">
        <f t="shared" si="36"/>
        <v>2.0034000000000072</v>
      </c>
      <c r="AU46" s="47" t="str">
        <f>IF(V46&lt;=AW$3,VLOOKUP(AO$3+V46,Kontenplan!$A$9:$D$278,4),"")</f>
        <v/>
      </c>
      <c r="AV46" s="12">
        <f t="shared" si="37"/>
        <v>0</v>
      </c>
      <c r="AW46" s="12" t="str">
        <f t="shared" ca="1" si="38"/>
        <v/>
      </c>
      <c r="AX46" s="46" t="str">
        <f t="shared" ca="1" si="6"/>
        <v/>
      </c>
      <c r="AY46" s="46" t="str">
        <f t="shared" ca="1" si="39"/>
        <v/>
      </c>
      <c r="BA46" s="12">
        <f>Kontenplan!R48</f>
        <v>3</v>
      </c>
      <c r="BB46" s="12">
        <f>Kontenplan!S48</f>
        <v>2</v>
      </c>
      <c r="BC46" s="12">
        <f>Kontenplan!T48</f>
        <v>3</v>
      </c>
      <c r="BD46" s="170">
        <f>Kontenplan!U48</f>
        <v>0</v>
      </c>
      <c r="BF46" s="24">
        <f ca="1">SUM(AP$7:AP46)</f>
        <v>0</v>
      </c>
      <c r="BG46" s="46">
        <f ca="1">SUM(AQ$7:AQ45)</f>
        <v>0</v>
      </c>
      <c r="BH46" s="24">
        <f t="shared" ca="1" si="40"/>
        <v>0</v>
      </c>
      <c r="BI46" s="24"/>
      <c r="BJ46" s="24">
        <f ca="1">SUM(AX$7:AX46)</f>
        <v>0</v>
      </c>
      <c r="BK46" s="24">
        <f ca="1">SUM(AY$7:AY45)</f>
        <v>0</v>
      </c>
      <c r="BL46" s="24">
        <f t="shared" ca="1" si="41"/>
        <v>0</v>
      </c>
      <c r="BN46" s="24">
        <f ca="1">SUM(AB$7:AB46)</f>
        <v>0</v>
      </c>
      <c r="BO46" s="46">
        <f ca="1">SUM(AC$7:AC45)</f>
        <v>0</v>
      </c>
      <c r="BP46" s="24">
        <f t="shared" ca="1" si="42"/>
        <v>0</v>
      </c>
      <c r="BR46" s="24">
        <f ca="1">SUM(AH$7:AH46)</f>
        <v>0</v>
      </c>
      <c r="BS46" s="46">
        <f ca="1">SUM(AI$7:AI45)</f>
        <v>0</v>
      </c>
      <c r="BT46" s="24">
        <f t="shared" ca="1" si="43"/>
        <v>0</v>
      </c>
    </row>
    <row r="47" spans="1:72" s="12" customFormat="1">
      <c r="A47" s="202" t="str">
        <f>Kontenplan!C49</f>
        <v>Aufwandskonto</v>
      </c>
      <c r="B47" s="224">
        <f>Kontenplan!E49</f>
        <v>3720</v>
      </c>
      <c r="C47" s="225" t="str">
        <f>Kontenplan!F49</f>
        <v>Verbrauchsmaterial (Hauswart)</v>
      </c>
      <c r="D47" s="43">
        <f>IF(B47=0,0,SUMIF(Journal!$F$7:$F$83,Calc!B47,Journal!$I$7:$I$83))</f>
        <v>0</v>
      </c>
      <c r="E47" s="15">
        <f ca="1">IF(B47=0,0,SUMIF(Journal!$G$7:$M121,Calc!B47,Journal!$I$7:$I$83))</f>
        <v>0</v>
      </c>
      <c r="F47" s="44">
        <f t="shared" ca="1" si="7"/>
        <v>0</v>
      </c>
      <c r="G47" s="15">
        <f t="shared" ca="1" si="8"/>
        <v>0</v>
      </c>
      <c r="H47" s="14" t="str">
        <f t="shared" ca="1" si="9"/>
        <v xml:space="preserve"> </v>
      </c>
      <c r="I47" s="43" t="str">
        <f t="shared" ca="1" si="10"/>
        <v xml:space="preserve"> </v>
      </c>
      <c r="J47" s="45" t="str">
        <f t="shared" ca="1" si="11"/>
        <v xml:space="preserve"> </v>
      </c>
      <c r="K47" s="48" t="str">
        <f t="shared" ca="1" si="12"/>
        <v xml:space="preserve"> </v>
      </c>
      <c r="L47" s="45" t="str">
        <f t="shared" ca="1" si="13"/>
        <v xml:space="preserve"> </v>
      </c>
      <c r="M47" s="48" t="str">
        <f t="shared" ca="1" si="14"/>
        <v xml:space="preserve"> </v>
      </c>
      <c r="N47" s="24"/>
      <c r="O47" s="12">
        <f t="shared" si="15"/>
        <v>10.006199999999986</v>
      </c>
      <c r="P47" s="12">
        <f t="shared" si="16"/>
        <v>9.0043999999999897</v>
      </c>
      <c r="Q47" s="12">
        <f t="shared" si="17"/>
        <v>22</v>
      </c>
      <c r="R47" s="12">
        <f t="shared" si="18"/>
        <v>8.1999999999999955E-3</v>
      </c>
      <c r="S47" s="12">
        <f t="shared" si="19"/>
        <v>3720</v>
      </c>
      <c r="T47" s="12" t="str">
        <f t="shared" si="20"/>
        <v>Verbrauchsmaterial (Hauswart)</v>
      </c>
      <c r="U47" s="43">
        <f ca="1">IF(OR(A47=Kontenplan!$C$3,A47=Kontenplan!$C$5),F47-G47,G47-F47)</f>
        <v>0</v>
      </c>
      <c r="V47" s="171">
        <f t="shared" si="3"/>
        <v>41</v>
      </c>
      <c r="W47" s="12">
        <f t="shared" si="4"/>
        <v>14</v>
      </c>
      <c r="X47" s="12">
        <f t="shared" si="5"/>
        <v>16</v>
      </c>
      <c r="Y47" s="12">
        <f>IF(Z47=0,VLOOKUP(W47,Kontenplan!$Y$9:$AA$551,3),"")</f>
        <v>0</v>
      </c>
      <c r="Z47" s="12">
        <f t="shared" si="21"/>
        <v>0</v>
      </c>
      <c r="AA47" s="12" t="str">
        <f t="shared" ca="1" si="22"/>
        <v/>
      </c>
      <c r="AB47" s="46" t="str">
        <f t="shared" ca="1" si="23"/>
        <v/>
      </c>
      <c r="AC47" s="46" t="str">
        <f t="shared" ca="1" si="24"/>
        <v/>
      </c>
      <c r="AD47" s="47"/>
      <c r="AE47" s="12">
        <f>IF(AF47=0,VLOOKUP(X47,Kontenplan!$Z$9:$AB$551,3),"")</f>
        <v>0</v>
      </c>
      <c r="AF47" s="47">
        <f t="shared" si="25"/>
        <v>0</v>
      </c>
      <c r="AG47" s="12" t="str">
        <f t="shared" ca="1" si="26"/>
        <v/>
      </c>
      <c r="AH47" s="46" t="str">
        <f t="shared" ca="1" si="27"/>
        <v/>
      </c>
      <c r="AI47" s="46" t="str">
        <f t="shared" ca="1" si="28"/>
        <v/>
      </c>
      <c r="AJ47" s="46"/>
      <c r="AK47" s="147">
        <f t="shared" ca="1" si="29"/>
        <v>2.0031000000000065</v>
      </c>
      <c r="AL47" s="147">
        <f t="shared" si="30"/>
        <v>2.0034000000000072</v>
      </c>
      <c r="AM47" s="12" t="str">
        <f>IF(V47&lt;=AO$3,VLOOKUP(V47,Kontenplan!$A$9:$D$278,4),"")</f>
        <v/>
      </c>
      <c r="AN47" s="12">
        <f t="shared" si="31"/>
        <v>0</v>
      </c>
      <c r="AO47" s="12" t="str">
        <f t="shared" ca="1" si="32"/>
        <v/>
      </c>
      <c r="AP47" s="46" t="str">
        <f t="shared" ca="1" si="33"/>
        <v/>
      </c>
      <c r="AQ47" s="46" t="str">
        <f t="shared" ca="1" si="34"/>
        <v/>
      </c>
      <c r="AR47" s="46"/>
      <c r="AS47" s="147">
        <f t="shared" ca="1" si="35"/>
        <v>3.0030000000000063</v>
      </c>
      <c r="AT47" s="147">
        <f t="shared" si="36"/>
        <v>2.0035000000000074</v>
      </c>
      <c r="AU47" s="47" t="str">
        <f>IF(V47&lt;=AW$3,VLOOKUP(AO$3+V47,Kontenplan!$A$9:$D$278,4),"")</f>
        <v/>
      </c>
      <c r="AV47" s="12">
        <f t="shared" si="37"/>
        <v>0</v>
      </c>
      <c r="AW47" s="12" t="str">
        <f t="shared" ca="1" si="38"/>
        <v/>
      </c>
      <c r="AX47" s="46" t="str">
        <f t="shared" ca="1" si="6"/>
        <v/>
      </c>
      <c r="AY47" s="46" t="str">
        <f t="shared" ca="1" si="39"/>
        <v/>
      </c>
      <c r="BA47" s="12">
        <f>Kontenplan!R49</f>
        <v>3</v>
      </c>
      <c r="BB47" s="12">
        <f>Kontenplan!S49</f>
        <v>2</v>
      </c>
      <c r="BC47" s="12">
        <f>Kontenplan!T49</f>
        <v>3</v>
      </c>
      <c r="BD47" s="170">
        <f>Kontenplan!U49</f>
        <v>0</v>
      </c>
      <c r="BF47" s="24">
        <f ca="1">SUM(AP$7:AP47)</f>
        <v>0</v>
      </c>
      <c r="BG47" s="46">
        <f ca="1">SUM(AQ$7:AQ46)</f>
        <v>0</v>
      </c>
      <c r="BH47" s="24">
        <f t="shared" ca="1" si="40"/>
        <v>0</v>
      </c>
      <c r="BI47" s="24"/>
      <c r="BJ47" s="24">
        <f ca="1">SUM(AX$7:AX47)</f>
        <v>0</v>
      </c>
      <c r="BK47" s="24">
        <f ca="1">SUM(AY$7:AY46)</f>
        <v>0</v>
      </c>
      <c r="BL47" s="24">
        <f t="shared" ca="1" si="41"/>
        <v>0</v>
      </c>
      <c r="BN47" s="24">
        <f ca="1">SUM(AB$7:AB47)</f>
        <v>0</v>
      </c>
      <c r="BO47" s="46">
        <f ca="1">SUM(AC$7:AC46)</f>
        <v>0</v>
      </c>
      <c r="BP47" s="24">
        <f t="shared" ca="1" si="42"/>
        <v>0</v>
      </c>
      <c r="BR47" s="24">
        <f ca="1">SUM(AH$7:AH47)</f>
        <v>0</v>
      </c>
      <c r="BS47" s="46">
        <f ca="1">SUM(AI$7:AI46)</f>
        <v>0</v>
      </c>
      <c r="BT47" s="24">
        <f t="shared" ca="1" si="43"/>
        <v>0</v>
      </c>
    </row>
    <row r="48" spans="1:72" s="12" customFormat="1">
      <c r="A48" s="202" t="str">
        <f>Kontenplan!C50</f>
        <v>Aufwandskonto</v>
      </c>
      <c r="B48" s="224">
        <f>Kontenplan!E50</f>
        <v>3740</v>
      </c>
      <c r="C48" s="225" t="str">
        <f>Kontenplan!F50</f>
        <v>Winterdienst</v>
      </c>
      <c r="D48" s="43">
        <f>IF(B48=0,0,SUMIF(Journal!$F$7:$F$83,Calc!B48,Journal!$I$7:$I$83))</f>
        <v>0</v>
      </c>
      <c r="E48" s="15">
        <f ca="1">IF(B48=0,0,SUMIF(Journal!$G$7:$M122,Calc!B48,Journal!$I$7:$I$83))</f>
        <v>0</v>
      </c>
      <c r="F48" s="44">
        <f t="shared" ca="1" si="7"/>
        <v>0</v>
      </c>
      <c r="G48" s="15">
        <f t="shared" ca="1" si="8"/>
        <v>0</v>
      </c>
      <c r="H48" s="14" t="str">
        <f t="shared" ca="1" si="9"/>
        <v xml:space="preserve"> </v>
      </c>
      <c r="I48" s="43" t="str">
        <f t="shared" ca="1" si="10"/>
        <v xml:space="preserve"> </v>
      </c>
      <c r="J48" s="45" t="str">
        <f t="shared" ca="1" si="11"/>
        <v xml:space="preserve"> </v>
      </c>
      <c r="K48" s="48" t="str">
        <f t="shared" ca="1" si="12"/>
        <v xml:space="preserve"> </v>
      </c>
      <c r="L48" s="45" t="str">
        <f t="shared" ca="1" si="13"/>
        <v xml:space="preserve"> </v>
      </c>
      <c r="M48" s="48" t="str">
        <f t="shared" ca="1" si="14"/>
        <v xml:space="preserve"> </v>
      </c>
      <c r="N48" s="24"/>
      <c r="O48" s="12">
        <f t="shared" si="15"/>
        <v>10.006399999999985</v>
      </c>
      <c r="P48" s="12">
        <f t="shared" si="16"/>
        <v>9.0045999999999893</v>
      </c>
      <c r="Q48" s="12">
        <f t="shared" si="17"/>
        <v>23</v>
      </c>
      <c r="R48" s="12">
        <f t="shared" si="18"/>
        <v>8.399999999999996E-3</v>
      </c>
      <c r="S48" s="12">
        <f t="shared" si="19"/>
        <v>3740</v>
      </c>
      <c r="T48" s="12" t="str">
        <f t="shared" si="20"/>
        <v>Winterdienst</v>
      </c>
      <c r="U48" s="43">
        <f ca="1">IF(OR(A48=Kontenplan!$C$3,A48=Kontenplan!$C$5),F48-G48,G48-F48)</f>
        <v>0</v>
      </c>
      <c r="V48" s="171">
        <f t="shared" si="3"/>
        <v>42</v>
      </c>
      <c r="W48" s="12">
        <f t="shared" si="4"/>
        <v>15</v>
      </c>
      <c r="X48" s="12">
        <f t="shared" si="5"/>
        <v>17</v>
      </c>
      <c r="Y48" s="12">
        <f>IF(Z48=0,VLOOKUP(W48,Kontenplan!$Y$9:$AA$551,3),"")</f>
        <v>0</v>
      </c>
      <c r="Z48" s="12">
        <f t="shared" si="21"/>
        <v>0</v>
      </c>
      <c r="AA48" s="12" t="str">
        <f t="shared" ca="1" si="22"/>
        <v/>
      </c>
      <c r="AB48" s="46" t="str">
        <f t="shared" ca="1" si="23"/>
        <v/>
      </c>
      <c r="AC48" s="46" t="str">
        <f t="shared" ca="1" si="24"/>
        <v/>
      </c>
      <c r="AD48" s="47"/>
      <c r="AE48" s="12">
        <f>IF(AF48=0,VLOOKUP(X48,Kontenplan!$Z$9:$AB$551,3),"")</f>
        <v>0</v>
      </c>
      <c r="AF48" s="47">
        <f t="shared" si="25"/>
        <v>0</v>
      </c>
      <c r="AG48" s="12" t="str">
        <f t="shared" ca="1" si="26"/>
        <v/>
      </c>
      <c r="AH48" s="46" t="str">
        <f t="shared" ca="1" si="27"/>
        <v/>
      </c>
      <c r="AI48" s="46" t="str">
        <f t="shared" ca="1" si="28"/>
        <v/>
      </c>
      <c r="AJ48" s="46"/>
      <c r="AK48" s="147">
        <f t="shared" ca="1" si="29"/>
        <v>2.0032000000000068</v>
      </c>
      <c r="AL48" s="147">
        <f t="shared" si="30"/>
        <v>2.0035000000000074</v>
      </c>
      <c r="AM48" s="12" t="str">
        <f>IF(V48&lt;=AO$3,VLOOKUP(V48,Kontenplan!$A$9:$D$278,4),"")</f>
        <v/>
      </c>
      <c r="AN48" s="12">
        <f t="shared" si="31"/>
        <v>0</v>
      </c>
      <c r="AO48" s="12" t="str">
        <f t="shared" ca="1" si="32"/>
        <v/>
      </c>
      <c r="AP48" s="46" t="str">
        <f t="shared" ca="1" si="33"/>
        <v/>
      </c>
      <c r="AQ48" s="46" t="str">
        <f t="shared" ca="1" si="34"/>
        <v/>
      </c>
      <c r="AR48" s="46"/>
      <c r="AS48" s="147">
        <f t="shared" ca="1" si="35"/>
        <v>3.0031000000000065</v>
      </c>
      <c r="AT48" s="147">
        <f t="shared" si="36"/>
        <v>2.0036000000000076</v>
      </c>
      <c r="AU48" s="47" t="str">
        <f>IF(V48&lt;=AW$3,VLOOKUP(AO$3+V48,Kontenplan!$A$9:$D$278,4),"")</f>
        <v/>
      </c>
      <c r="AV48" s="12">
        <f t="shared" si="37"/>
        <v>0</v>
      </c>
      <c r="AW48" s="12" t="str">
        <f t="shared" ca="1" si="38"/>
        <v/>
      </c>
      <c r="AX48" s="46" t="str">
        <f t="shared" ca="1" si="6"/>
        <v/>
      </c>
      <c r="AY48" s="46" t="str">
        <f t="shared" ca="1" si="39"/>
        <v/>
      </c>
      <c r="BA48" s="12">
        <f>Kontenplan!R50</f>
        <v>3</v>
      </c>
      <c r="BB48" s="12">
        <f>Kontenplan!S50</f>
        <v>2</v>
      </c>
      <c r="BC48" s="12">
        <f>Kontenplan!T50</f>
        <v>3</v>
      </c>
      <c r="BD48" s="170">
        <f>Kontenplan!U50</f>
        <v>0</v>
      </c>
      <c r="BF48" s="24">
        <f ca="1">SUM(AP$7:AP48)</f>
        <v>0</v>
      </c>
      <c r="BG48" s="46">
        <f ca="1">SUM(AQ$7:AQ47)</f>
        <v>0</v>
      </c>
      <c r="BH48" s="24">
        <f t="shared" ca="1" si="40"/>
        <v>0</v>
      </c>
      <c r="BI48" s="24"/>
      <c r="BJ48" s="24">
        <f ca="1">SUM(AX$7:AX48)</f>
        <v>0</v>
      </c>
      <c r="BK48" s="24">
        <f ca="1">SUM(AY$7:AY47)</f>
        <v>0</v>
      </c>
      <c r="BL48" s="24">
        <f t="shared" ca="1" si="41"/>
        <v>0</v>
      </c>
      <c r="BN48" s="24">
        <f ca="1">SUM(AB$7:AB48)</f>
        <v>0</v>
      </c>
      <c r="BO48" s="46">
        <f ca="1">SUM(AC$7:AC47)</f>
        <v>0</v>
      </c>
      <c r="BP48" s="24">
        <f t="shared" ca="1" si="42"/>
        <v>0</v>
      </c>
      <c r="BR48" s="24">
        <f ca="1">SUM(AH$7:AH48)</f>
        <v>0</v>
      </c>
      <c r="BS48" s="46">
        <f ca="1">SUM(AI$7:AI47)</f>
        <v>0</v>
      </c>
      <c r="BT48" s="24">
        <f t="shared" ca="1" si="43"/>
        <v>0</v>
      </c>
    </row>
    <row r="49" spans="1:72" s="12" customFormat="1">
      <c r="A49" s="202" t="str">
        <f>Kontenplan!C51</f>
        <v>Aufwandskonto</v>
      </c>
      <c r="B49" s="224">
        <f>Kontenplan!E51</f>
        <v>3760</v>
      </c>
      <c r="C49" s="225" t="str">
        <f>Kontenplan!F51</f>
        <v>Reparaturen</v>
      </c>
      <c r="D49" s="43">
        <f>IF(B49=0,0,SUMIF(Journal!$F$7:$F$83,Calc!B49,Journal!$I$7:$I$83))</f>
        <v>0</v>
      </c>
      <c r="E49" s="15">
        <f ca="1">IF(B49=0,0,SUMIF(Journal!$G$7:$M123,Calc!B49,Journal!$I$7:$I$83))</f>
        <v>0</v>
      </c>
      <c r="F49" s="44">
        <f t="shared" ca="1" si="7"/>
        <v>0</v>
      </c>
      <c r="G49" s="15">
        <f t="shared" ca="1" si="8"/>
        <v>0</v>
      </c>
      <c r="H49" s="14" t="str">
        <f t="shared" ca="1" si="9"/>
        <v xml:space="preserve"> </v>
      </c>
      <c r="I49" s="43" t="str">
        <f t="shared" ca="1" si="10"/>
        <v xml:space="preserve"> </v>
      </c>
      <c r="J49" s="45" t="str">
        <f t="shared" ca="1" si="11"/>
        <v xml:space="preserve"> </v>
      </c>
      <c r="K49" s="48" t="str">
        <f t="shared" ca="1" si="12"/>
        <v xml:space="preserve"> </v>
      </c>
      <c r="L49" s="45" t="str">
        <f t="shared" ca="1" si="13"/>
        <v xml:space="preserve"> </v>
      </c>
      <c r="M49" s="48" t="str">
        <f t="shared" ca="1" si="14"/>
        <v xml:space="preserve"> </v>
      </c>
      <c r="N49" s="24"/>
      <c r="O49" s="12">
        <f t="shared" si="15"/>
        <v>10.006599999999985</v>
      </c>
      <c r="P49" s="12">
        <f t="shared" si="16"/>
        <v>9.0047999999999888</v>
      </c>
      <c r="Q49" s="12">
        <f t="shared" si="17"/>
        <v>24</v>
      </c>
      <c r="R49" s="12">
        <f t="shared" si="18"/>
        <v>8.5999999999999965E-3</v>
      </c>
      <c r="S49" s="12">
        <f t="shared" si="19"/>
        <v>3760</v>
      </c>
      <c r="T49" s="12" t="str">
        <f t="shared" si="20"/>
        <v>Reparaturen</v>
      </c>
      <c r="U49" s="43">
        <f ca="1">IF(OR(A49=Kontenplan!$C$3,A49=Kontenplan!$C$5),F49-G49,G49-F49)</f>
        <v>0</v>
      </c>
      <c r="V49" s="171">
        <f t="shared" si="3"/>
        <v>43</v>
      </c>
      <c r="W49" s="12">
        <f t="shared" si="4"/>
        <v>16</v>
      </c>
      <c r="X49" s="12">
        <f t="shared" si="5"/>
        <v>18</v>
      </c>
      <c r="Y49" s="12">
        <f>IF(Z49=0,VLOOKUP(W49,Kontenplan!$Y$9:$AA$551,3),"")</f>
        <v>0</v>
      </c>
      <c r="Z49" s="12">
        <f t="shared" si="21"/>
        <v>0</v>
      </c>
      <c r="AA49" s="12" t="str">
        <f t="shared" ca="1" si="22"/>
        <v/>
      </c>
      <c r="AB49" s="46" t="str">
        <f t="shared" ca="1" si="23"/>
        <v/>
      </c>
      <c r="AC49" s="46" t="str">
        <f t="shared" ca="1" si="24"/>
        <v/>
      </c>
      <c r="AD49" s="47"/>
      <c r="AE49" s="12">
        <f>IF(AF49=0,VLOOKUP(X49,Kontenplan!$Z$9:$AB$551,3),"")</f>
        <v>0</v>
      </c>
      <c r="AF49" s="47">
        <f t="shared" si="25"/>
        <v>0</v>
      </c>
      <c r="AG49" s="12" t="str">
        <f t="shared" ca="1" si="26"/>
        <v/>
      </c>
      <c r="AH49" s="46" t="str">
        <f t="shared" ca="1" si="27"/>
        <v/>
      </c>
      <c r="AI49" s="46" t="str">
        <f t="shared" ca="1" si="28"/>
        <v/>
      </c>
      <c r="AJ49" s="46"/>
      <c r="AK49" s="147">
        <f t="shared" ca="1" si="29"/>
        <v>2.003300000000007</v>
      </c>
      <c r="AL49" s="147">
        <f t="shared" si="30"/>
        <v>2.0036000000000076</v>
      </c>
      <c r="AM49" s="12" t="str">
        <f>IF(V49&lt;=AO$3,VLOOKUP(V49,Kontenplan!$A$9:$D$278,4),"")</f>
        <v/>
      </c>
      <c r="AN49" s="12">
        <f t="shared" si="31"/>
        <v>0</v>
      </c>
      <c r="AO49" s="12" t="str">
        <f t="shared" ca="1" si="32"/>
        <v/>
      </c>
      <c r="AP49" s="46" t="str">
        <f t="shared" ca="1" si="33"/>
        <v/>
      </c>
      <c r="AQ49" s="46" t="str">
        <f t="shared" ca="1" si="34"/>
        <v/>
      </c>
      <c r="AR49" s="46"/>
      <c r="AS49" s="147">
        <f t="shared" ca="1" si="35"/>
        <v>3.0032000000000068</v>
      </c>
      <c r="AT49" s="147">
        <f t="shared" si="36"/>
        <v>2.0037000000000078</v>
      </c>
      <c r="AU49" s="47" t="str">
        <f>IF(V49&lt;=AW$3,VLOOKUP(AO$3+V49,Kontenplan!$A$9:$D$278,4),"")</f>
        <v/>
      </c>
      <c r="AV49" s="12">
        <f t="shared" si="37"/>
        <v>0</v>
      </c>
      <c r="AW49" s="12" t="str">
        <f t="shared" ca="1" si="38"/>
        <v/>
      </c>
      <c r="AX49" s="46" t="str">
        <f t="shared" ca="1" si="6"/>
        <v/>
      </c>
      <c r="AY49" s="46" t="str">
        <f t="shared" ca="1" si="39"/>
        <v/>
      </c>
      <c r="BA49" s="12">
        <f>Kontenplan!R51</f>
        <v>3</v>
      </c>
      <c r="BB49" s="12">
        <f>Kontenplan!S51</f>
        <v>2</v>
      </c>
      <c r="BC49" s="12">
        <f>Kontenplan!T51</f>
        <v>3</v>
      </c>
      <c r="BD49" s="170">
        <f>Kontenplan!U51</f>
        <v>0</v>
      </c>
      <c r="BF49" s="24">
        <f ca="1">SUM(AP$7:AP49)</f>
        <v>0</v>
      </c>
      <c r="BG49" s="46">
        <f ca="1">SUM(AQ$7:AQ48)</f>
        <v>0</v>
      </c>
      <c r="BH49" s="24">
        <f t="shared" ca="1" si="40"/>
        <v>0</v>
      </c>
      <c r="BI49" s="24"/>
      <c r="BJ49" s="24">
        <f ca="1">SUM(AX$7:AX49)</f>
        <v>0</v>
      </c>
      <c r="BK49" s="24">
        <f ca="1">SUM(AY$7:AY48)</f>
        <v>0</v>
      </c>
      <c r="BL49" s="24">
        <f t="shared" ca="1" si="41"/>
        <v>0</v>
      </c>
      <c r="BN49" s="24">
        <f ca="1">SUM(AB$7:AB49)</f>
        <v>0</v>
      </c>
      <c r="BO49" s="46">
        <f ca="1">SUM(AC$7:AC48)</f>
        <v>0</v>
      </c>
      <c r="BP49" s="24">
        <f t="shared" ca="1" si="42"/>
        <v>0</v>
      </c>
      <c r="BR49" s="24">
        <f ca="1">SUM(AH$7:AH49)</f>
        <v>0</v>
      </c>
      <c r="BS49" s="46">
        <f ca="1">SUM(AI$7:AI48)</f>
        <v>0</v>
      </c>
      <c r="BT49" s="24">
        <f t="shared" ca="1" si="43"/>
        <v>0</v>
      </c>
    </row>
    <row r="50" spans="1:72" s="12" customFormat="1">
      <c r="A50" s="202" t="str">
        <f>Kontenplan!C52</f>
        <v>Aufwandskonto</v>
      </c>
      <c r="B50" s="224">
        <f>Kontenplan!E52</f>
        <v>3780</v>
      </c>
      <c r="C50" s="225" t="str">
        <f>Kontenplan!F52</f>
        <v>div. Anschaffungen</v>
      </c>
      <c r="D50" s="43">
        <f>IF(B50=0,0,SUMIF(Journal!$F$7:$F$83,Calc!B50,Journal!$I$7:$I$83))</f>
        <v>0</v>
      </c>
      <c r="E50" s="15">
        <f ca="1">IF(B50=0,0,SUMIF(Journal!$G$7:$M124,Calc!B50,Journal!$I$7:$I$83))</f>
        <v>0</v>
      </c>
      <c r="F50" s="44">
        <f t="shared" ca="1" si="7"/>
        <v>0</v>
      </c>
      <c r="G50" s="15">
        <f t="shared" ca="1" si="8"/>
        <v>0</v>
      </c>
      <c r="H50" s="14" t="str">
        <f t="shared" ca="1" si="9"/>
        <v xml:space="preserve"> </v>
      </c>
      <c r="I50" s="43" t="str">
        <f t="shared" ca="1" si="10"/>
        <v xml:space="preserve"> </v>
      </c>
      <c r="J50" s="45" t="str">
        <f t="shared" ca="1" si="11"/>
        <v xml:space="preserve"> </v>
      </c>
      <c r="K50" s="48" t="str">
        <f t="shared" ca="1" si="12"/>
        <v xml:space="preserve"> </v>
      </c>
      <c r="L50" s="45" t="str">
        <f t="shared" ca="1" si="13"/>
        <v xml:space="preserve"> </v>
      </c>
      <c r="M50" s="48" t="str">
        <f t="shared" ca="1" si="14"/>
        <v xml:space="preserve"> </v>
      </c>
      <c r="N50" s="24"/>
      <c r="O50" s="12">
        <f t="shared" si="15"/>
        <v>10.006799999999984</v>
      </c>
      <c r="P50" s="12">
        <f t="shared" si="16"/>
        <v>9.0049999999999883</v>
      </c>
      <c r="Q50" s="12">
        <f t="shared" si="17"/>
        <v>25</v>
      </c>
      <c r="R50" s="12">
        <f t="shared" si="18"/>
        <v>8.7999999999999971E-3</v>
      </c>
      <c r="S50" s="12">
        <f t="shared" si="19"/>
        <v>3780</v>
      </c>
      <c r="T50" s="12" t="str">
        <f t="shared" si="20"/>
        <v>div. Anschaffungen</v>
      </c>
      <c r="U50" s="43">
        <f ca="1">IF(OR(A50=Kontenplan!$C$3,A50=Kontenplan!$C$5),F50-G50,G50-F50)</f>
        <v>0</v>
      </c>
      <c r="V50" s="171">
        <f t="shared" si="3"/>
        <v>44</v>
      </c>
      <c r="W50" s="12">
        <f t="shared" si="4"/>
        <v>17</v>
      </c>
      <c r="X50" s="12">
        <f t="shared" si="5"/>
        <v>19</v>
      </c>
      <c r="Y50" s="12">
        <f>IF(Z50=0,VLOOKUP(W50,Kontenplan!$Y$9:$AA$551,3),"")</f>
        <v>0</v>
      </c>
      <c r="Z50" s="12">
        <f t="shared" si="21"/>
        <v>0</v>
      </c>
      <c r="AA50" s="12" t="str">
        <f t="shared" ca="1" si="22"/>
        <v/>
      </c>
      <c r="AB50" s="46" t="str">
        <f t="shared" ca="1" si="23"/>
        <v/>
      </c>
      <c r="AC50" s="46" t="str">
        <f t="shared" ca="1" si="24"/>
        <v/>
      </c>
      <c r="AD50" s="47"/>
      <c r="AE50" s="12">
        <f>IF(AF50=0,VLOOKUP(X50,Kontenplan!$Z$9:$AB$551,3),"")</f>
        <v>0</v>
      </c>
      <c r="AF50" s="47">
        <f t="shared" si="25"/>
        <v>0</v>
      </c>
      <c r="AG50" s="12" t="str">
        <f t="shared" ca="1" si="26"/>
        <v/>
      </c>
      <c r="AH50" s="46" t="str">
        <f t="shared" ca="1" si="27"/>
        <v/>
      </c>
      <c r="AI50" s="46" t="str">
        <f t="shared" ca="1" si="28"/>
        <v/>
      </c>
      <c r="AJ50" s="46"/>
      <c r="AK50" s="147">
        <f t="shared" ca="1" si="29"/>
        <v>2.0034000000000072</v>
      </c>
      <c r="AL50" s="147">
        <f t="shared" si="30"/>
        <v>2.0037000000000078</v>
      </c>
      <c r="AM50" s="12" t="str">
        <f>IF(V50&lt;=AO$3,VLOOKUP(V50,Kontenplan!$A$9:$D$278,4),"")</f>
        <v/>
      </c>
      <c r="AN50" s="12">
        <f t="shared" si="31"/>
        <v>0</v>
      </c>
      <c r="AO50" s="12" t="str">
        <f t="shared" ca="1" si="32"/>
        <v/>
      </c>
      <c r="AP50" s="46" t="str">
        <f t="shared" ca="1" si="33"/>
        <v/>
      </c>
      <c r="AQ50" s="46" t="str">
        <f t="shared" ca="1" si="34"/>
        <v/>
      </c>
      <c r="AR50" s="46"/>
      <c r="AS50" s="147">
        <f t="shared" ca="1" si="35"/>
        <v>3.003300000000007</v>
      </c>
      <c r="AT50" s="147">
        <f t="shared" si="36"/>
        <v>2.003800000000008</v>
      </c>
      <c r="AU50" s="47" t="str">
        <f>IF(V50&lt;=AW$3,VLOOKUP(AO$3+V50,Kontenplan!$A$9:$D$278,4),"")</f>
        <v/>
      </c>
      <c r="AV50" s="12">
        <f t="shared" si="37"/>
        <v>0</v>
      </c>
      <c r="AW50" s="12" t="str">
        <f t="shared" ca="1" si="38"/>
        <v/>
      </c>
      <c r="AX50" s="46" t="str">
        <f t="shared" ca="1" si="6"/>
        <v/>
      </c>
      <c r="AY50" s="46" t="str">
        <f t="shared" ca="1" si="39"/>
        <v/>
      </c>
      <c r="BA50" s="12">
        <f>Kontenplan!R52</f>
        <v>3</v>
      </c>
      <c r="BB50" s="12">
        <f>Kontenplan!S52</f>
        <v>2</v>
      </c>
      <c r="BC50" s="12">
        <f>Kontenplan!T52</f>
        <v>3</v>
      </c>
      <c r="BD50" s="170">
        <f>Kontenplan!U52</f>
        <v>0</v>
      </c>
      <c r="BF50" s="24">
        <f ca="1">SUM(AP$7:AP50)</f>
        <v>0</v>
      </c>
      <c r="BG50" s="46">
        <f ca="1">SUM(AQ$7:AQ49)</f>
        <v>0</v>
      </c>
      <c r="BH50" s="24">
        <f t="shared" ca="1" si="40"/>
        <v>0</v>
      </c>
      <c r="BI50" s="24"/>
      <c r="BJ50" s="24">
        <f ca="1">SUM(AX$7:AX50)</f>
        <v>0</v>
      </c>
      <c r="BK50" s="24">
        <f ca="1">SUM(AY$7:AY49)</f>
        <v>0</v>
      </c>
      <c r="BL50" s="24">
        <f t="shared" ca="1" si="41"/>
        <v>0</v>
      </c>
      <c r="BN50" s="24">
        <f ca="1">SUM(AB$7:AB50)</f>
        <v>0</v>
      </c>
      <c r="BO50" s="46">
        <f ca="1">SUM(AC$7:AC49)</f>
        <v>0</v>
      </c>
      <c r="BP50" s="24">
        <f t="shared" ca="1" si="42"/>
        <v>0</v>
      </c>
      <c r="BR50" s="24">
        <f ca="1">SUM(AH$7:AH50)</f>
        <v>0</v>
      </c>
      <c r="BS50" s="46">
        <f ca="1">SUM(AI$7:AI49)</f>
        <v>0</v>
      </c>
      <c r="BT50" s="24">
        <f t="shared" ca="1" si="43"/>
        <v>0</v>
      </c>
    </row>
    <row r="51" spans="1:72" s="12" customFormat="1">
      <c r="A51" s="202" t="str">
        <f>Kontenplan!C53</f>
        <v>Aufwandskonto</v>
      </c>
      <c r="B51" s="224">
        <f>Kontenplan!E53</f>
        <v>3850</v>
      </c>
      <c r="C51" s="225" t="str">
        <f>Kontenplan!F53</f>
        <v>Festivitäten</v>
      </c>
      <c r="D51" s="43">
        <f>IF(B51=0,0,SUMIF(Journal!$F$7:$F$83,Calc!B51,Journal!$I$7:$I$83))</f>
        <v>0</v>
      </c>
      <c r="E51" s="15">
        <f ca="1">IF(B51=0,0,SUMIF(Journal!$G$7:$M125,Calc!B51,Journal!$I$7:$I$83))</f>
        <v>0</v>
      </c>
      <c r="F51" s="44">
        <f t="shared" ca="1" si="7"/>
        <v>0</v>
      </c>
      <c r="G51" s="15">
        <f t="shared" ca="1" si="8"/>
        <v>0</v>
      </c>
      <c r="H51" s="14" t="str">
        <f t="shared" ca="1" si="9"/>
        <v xml:space="preserve"> </v>
      </c>
      <c r="I51" s="43" t="str">
        <f t="shared" ca="1" si="10"/>
        <v xml:space="preserve"> </v>
      </c>
      <c r="J51" s="45" t="str">
        <f t="shared" ca="1" si="11"/>
        <v xml:space="preserve"> </v>
      </c>
      <c r="K51" s="48" t="str">
        <f t="shared" ca="1" si="12"/>
        <v xml:space="preserve"> </v>
      </c>
      <c r="L51" s="45" t="str">
        <f t="shared" ca="1" si="13"/>
        <v xml:space="preserve"> </v>
      </c>
      <c r="M51" s="48" t="str">
        <f t="shared" ca="1" si="14"/>
        <v xml:space="preserve"> </v>
      </c>
      <c r="N51" s="24"/>
      <c r="O51" s="12">
        <f t="shared" si="15"/>
        <v>10.006999999999984</v>
      </c>
      <c r="P51" s="12">
        <f t="shared" si="16"/>
        <v>9.0051999999999879</v>
      </c>
      <c r="Q51" s="12">
        <f t="shared" si="17"/>
        <v>26</v>
      </c>
      <c r="R51" s="12">
        <f t="shared" si="18"/>
        <v>8.9999999999999976E-3</v>
      </c>
      <c r="S51" s="12">
        <f t="shared" si="19"/>
        <v>3850</v>
      </c>
      <c r="T51" s="12" t="str">
        <f t="shared" si="20"/>
        <v>Festivitäten</v>
      </c>
      <c r="U51" s="43">
        <f ca="1">IF(OR(A51=Kontenplan!$C$3,A51=Kontenplan!$C$5),F51-G51,G51-F51)</f>
        <v>0</v>
      </c>
      <c r="V51" s="171">
        <f t="shared" si="3"/>
        <v>45</v>
      </c>
      <c r="W51" s="12">
        <f t="shared" si="4"/>
        <v>18</v>
      </c>
      <c r="X51" s="12">
        <f t="shared" si="5"/>
        <v>20</v>
      </c>
      <c r="Y51" s="12">
        <f>IF(Z51=0,VLOOKUP(W51,Kontenplan!$Y$9:$AA$551,3),"")</f>
        <v>0</v>
      </c>
      <c r="Z51" s="12">
        <f t="shared" si="21"/>
        <v>0</v>
      </c>
      <c r="AA51" s="12" t="str">
        <f t="shared" ca="1" si="22"/>
        <v/>
      </c>
      <c r="AB51" s="46" t="str">
        <f t="shared" ca="1" si="23"/>
        <v/>
      </c>
      <c r="AC51" s="46" t="str">
        <f t="shared" ca="1" si="24"/>
        <v/>
      </c>
      <c r="AD51" s="47"/>
      <c r="AE51" s="12">
        <f>IF(AF51=0,VLOOKUP(X51,Kontenplan!$Z$9:$AB$551,3),"")</f>
        <v>0</v>
      </c>
      <c r="AF51" s="47">
        <f t="shared" si="25"/>
        <v>0</v>
      </c>
      <c r="AG51" s="12" t="str">
        <f t="shared" ca="1" si="26"/>
        <v/>
      </c>
      <c r="AH51" s="46" t="str">
        <f t="shared" ca="1" si="27"/>
        <v/>
      </c>
      <c r="AI51" s="46" t="str">
        <f t="shared" ca="1" si="28"/>
        <v/>
      </c>
      <c r="AJ51" s="46"/>
      <c r="AK51" s="147">
        <f t="shared" ca="1" si="29"/>
        <v>2.0035000000000074</v>
      </c>
      <c r="AL51" s="147">
        <f t="shared" si="30"/>
        <v>2.003800000000008</v>
      </c>
      <c r="AM51" s="12" t="str">
        <f>IF(V51&lt;=AO$3,VLOOKUP(V51,Kontenplan!$A$9:$D$278,4),"")</f>
        <v/>
      </c>
      <c r="AN51" s="12">
        <f t="shared" si="31"/>
        <v>0</v>
      </c>
      <c r="AO51" s="12" t="str">
        <f t="shared" ca="1" si="32"/>
        <v/>
      </c>
      <c r="AP51" s="46" t="str">
        <f t="shared" ca="1" si="33"/>
        <v/>
      </c>
      <c r="AQ51" s="46" t="str">
        <f t="shared" ca="1" si="34"/>
        <v/>
      </c>
      <c r="AR51" s="46"/>
      <c r="AS51" s="147">
        <f t="shared" ca="1" si="35"/>
        <v>3.0034000000000072</v>
      </c>
      <c r="AT51" s="147">
        <f t="shared" si="36"/>
        <v>2.0039000000000082</v>
      </c>
      <c r="AU51" s="47" t="str">
        <f>IF(V51&lt;=AW$3,VLOOKUP(AO$3+V51,Kontenplan!$A$9:$D$278,4),"")</f>
        <v/>
      </c>
      <c r="AV51" s="12">
        <f t="shared" si="37"/>
        <v>0</v>
      </c>
      <c r="AW51" s="12" t="str">
        <f t="shared" ca="1" si="38"/>
        <v/>
      </c>
      <c r="AX51" s="46" t="str">
        <f t="shared" ca="1" si="6"/>
        <v/>
      </c>
      <c r="AY51" s="46" t="str">
        <f t="shared" ca="1" si="39"/>
        <v/>
      </c>
      <c r="BA51" s="12">
        <f>Kontenplan!R53</f>
        <v>3</v>
      </c>
      <c r="BB51" s="12">
        <f>Kontenplan!S53</f>
        <v>2</v>
      </c>
      <c r="BC51" s="12">
        <f>Kontenplan!T53</f>
        <v>3</v>
      </c>
      <c r="BD51" s="170">
        <f>Kontenplan!U53</f>
        <v>0</v>
      </c>
      <c r="BF51" s="24">
        <f ca="1">SUM(AP$7:AP51)</f>
        <v>0</v>
      </c>
      <c r="BG51" s="46">
        <f ca="1">SUM(AQ$7:AQ50)</f>
        <v>0</v>
      </c>
      <c r="BH51" s="24">
        <f t="shared" ca="1" si="40"/>
        <v>0</v>
      </c>
      <c r="BI51" s="24"/>
      <c r="BJ51" s="24">
        <f ca="1">SUM(AX$7:AX51)</f>
        <v>0</v>
      </c>
      <c r="BK51" s="24">
        <f ca="1">SUM(AY$7:AY50)</f>
        <v>0</v>
      </c>
      <c r="BL51" s="24">
        <f t="shared" ca="1" si="41"/>
        <v>0</v>
      </c>
      <c r="BN51" s="24">
        <f ca="1">SUM(AB$7:AB51)</f>
        <v>0</v>
      </c>
      <c r="BO51" s="46">
        <f ca="1">SUM(AC$7:AC50)</f>
        <v>0</v>
      </c>
      <c r="BP51" s="24">
        <f t="shared" ca="1" si="42"/>
        <v>0</v>
      </c>
      <c r="BR51" s="24">
        <f ca="1">SUM(AH$7:AH51)</f>
        <v>0</v>
      </c>
      <c r="BS51" s="46">
        <f ca="1">SUM(AI$7:AI50)</f>
        <v>0</v>
      </c>
      <c r="BT51" s="24">
        <f t="shared" ca="1" si="43"/>
        <v>0</v>
      </c>
    </row>
    <row r="52" spans="1:72" s="12" customFormat="1">
      <c r="A52" s="202" t="str">
        <f>Kontenplan!C54</f>
        <v>Aufwandskonto</v>
      </c>
      <c r="B52" s="224">
        <f>Kontenplan!E54</f>
        <v>3900</v>
      </c>
      <c r="C52" s="225" t="str">
        <f>Kontenplan!F54</f>
        <v>Diverses</v>
      </c>
      <c r="D52" s="43">
        <f>IF(B52=0,0,SUMIF(Journal!$F$7:$F$83,Calc!B52,Journal!$I$7:$I$83))</f>
        <v>0</v>
      </c>
      <c r="E52" s="15">
        <f ca="1">IF(B52=0,0,SUMIF(Journal!$G$7:$M126,Calc!B52,Journal!$I$7:$I$83))</f>
        <v>0</v>
      </c>
      <c r="F52" s="44">
        <f t="shared" ca="1" si="7"/>
        <v>0</v>
      </c>
      <c r="G52" s="15">
        <f t="shared" ca="1" si="8"/>
        <v>0</v>
      </c>
      <c r="H52" s="14" t="str">
        <f t="shared" ca="1" si="9"/>
        <v xml:space="preserve"> </v>
      </c>
      <c r="I52" s="43" t="str">
        <f t="shared" ca="1" si="10"/>
        <v xml:space="preserve"> </v>
      </c>
      <c r="J52" s="45" t="str">
        <f t="shared" ca="1" si="11"/>
        <v xml:space="preserve"> </v>
      </c>
      <c r="K52" s="48" t="str">
        <f t="shared" ca="1" si="12"/>
        <v xml:space="preserve"> </v>
      </c>
      <c r="L52" s="45" t="str">
        <f t="shared" ca="1" si="13"/>
        <v xml:space="preserve"> </v>
      </c>
      <c r="M52" s="48" t="str">
        <f t="shared" ca="1" si="14"/>
        <v xml:space="preserve"> </v>
      </c>
      <c r="N52" s="24"/>
      <c r="O52" s="12">
        <f t="shared" si="15"/>
        <v>10.007199999999983</v>
      </c>
      <c r="P52" s="12">
        <f t="shared" si="16"/>
        <v>9.0053999999999874</v>
      </c>
      <c r="Q52" s="12">
        <f t="shared" si="17"/>
        <v>27</v>
      </c>
      <c r="R52" s="12">
        <f t="shared" si="18"/>
        <v>9.1999999999999981E-3</v>
      </c>
      <c r="S52" s="12">
        <f t="shared" si="19"/>
        <v>3900</v>
      </c>
      <c r="T52" s="12" t="str">
        <f t="shared" si="20"/>
        <v>Diverses</v>
      </c>
      <c r="U52" s="43">
        <f ca="1">IF(OR(A52=Kontenplan!$C$3,A52=Kontenplan!$C$5),F52-G52,G52-F52)</f>
        <v>0</v>
      </c>
      <c r="V52" s="171">
        <f t="shared" si="3"/>
        <v>46</v>
      </c>
      <c r="W52" s="12">
        <f t="shared" si="4"/>
        <v>19</v>
      </c>
      <c r="X52" s="12">
        <f t="shared" si="5"/>
        <v>21</v>
      </c>
      <c r="Y52" s="12">
        <f>IF(Z52=0,VLOOKUP(W52,Kontenplan!$Y$9:$AA$551,3),"")</f>
        <v>0</v>
      </c>
      <c r="Z52" s="12">
        <f t="shared" si="21"/>
        <v>0</v>
      </c>
      <c r="AA52" s="12" t="str">
        <f t="shared" ca="1" si="22"/>
        <v/>
      </c>
      <c r="AB52" s="46" t="str">
        <f t="shared" ca="1" si="23"/>
        <v/>
      </c>
      <c r="AC52" s="46" t="str">
        <f t="shared" ca="1" si="24"/>
        <v/>
      </c>
      <c r="AD52" s="47"/>
      <c r="AE52" s="12">
        <f>IF(AF52=0,VLOOKUP(X52,Kontenplan!$Z$9:$AB$551,3),"")</f>
        <v>0</v>
      </c>
      <c r="AF52" s="47">
        <f t="shared" si="25"/>
        <v>0</v>
      </c>
      <c r="AG52" s="12" t="str">
        <f t="shared" ca="1" si="26"/>
        <v/>
      </c>
      <c r="AH52" s="46" t="str">
        <f t="shared" ca="1" si="27"/>
        <v/>
      </c>
      <c r="AI52" s="46" t="str">
        <f t="shared" ca="1" si="28"/>
        <v/>
      </c>
      <c r="AJ52" s="46"/>
      <c r="AK52" s="147">
        <f t="shared" ca="1" si="29"/>
        <v>2.0036000000000076</v>
      </c>
      <c r="AL52" s="147">
        <f t="shared" si="30"/>
        <v>2.0039000000000082</v>
      </c>
      <c r="AM52" s="12" t="str">
        <f>IF(V52&lt;=AO$3,VLOOKUP(V52,Kontenplan!$A$9:$D$278,4),"")</f>
        <v/>
      </c>
      <c r="AN52" s="12">
        <f t="shared" si="31"/>
        <v>0</v>
      </c>
      <c r="AO52" s="12" t="str">
        <f t="shared" ca="1" si="32"/>
        <v/>
      </c>
      <c r="AP52" s="46" t="str">
        <f t="shared" ca="1" si="33"/>
        <v/>
      </c>
      <c r="AQ52" s="46" t="str">
        <f t="shared" ca="1" si="34"/>
        <v/>
      </c>
      <c r="AR52" s="46"/>
      <c r="AS52" s="147">
        <f t="shared" ca="1" si="35"/>
        <v>3.0035000000000074</v>
      </c>
      <c r="AT52" s="147">
        <f t="shared" si="36"/>
        <v>2.0040000000000084</v>
      </c>
      <c r="AU52" s="47" t="str">
        <f>IF(V52&lt;=AW$3,VLOOKUP(AO$3+V52,Kontenplan!$A$9:$D$278,4),"")</f>
        <v/>
      </c>
      <c r="AV52" s="12">
        <f t="shared" si="37"/>
        <v>0</v>
      </c>
      <c r="AW52" s="12" t="str">
        <f t="shared" ca="1" si="38"/>
        <v/>
      </c>
      <c r="AX52" s="46" t="str">
        <f t="shared" ca="1" si="6"/>
        <v/>
      </c>
      <c r="AY52" s="46" t="str">
        <f t="shared" ca="1" si="39"/>
        <v/>
      </c>
      <c r="BA52" s="12">
        <f>Kontenplan!R54</f>
        <v>3</v>
      </c>
      <c r="BB52" s="12">
        <f>Kontenplan!S54</f>
        <v>2</v>
      </c>
      <c r="BC52" s="12">
        <f>Kontenplan!T54</f>
        <v>3</v>
      </c>
      <c r="BD52" s="170">
        <f>Kontenplan!U54</f>
        <v>0</v>
      </c>
      <c r="BF52" s="24">
        <f ca="1">SUM(AP$7:AP52)</f>
        <v>0</v>
      </c>
      <c r="BG52" s="46">
        <f ca="1">SUM(AQ$7:AQ51)</f>
        <v>0</v>
      </c>
      <c r="BH52" s="24">
        <f t="shared" ca="1" si="40"/>
        <v>0</v>
      </c>
      <c r="BI52" s="24"/>
      <c r="BJ52" s="24">
        <f ca="1">SUM(AX$7:AX52)</f>
        <v>0</v>
      </c>
      <c r="BK52" s="24">
        <f ca="1">SUM(AY$7:AY51)</f>
        <v>0</v>
      </c>
      <c r="BL52" s="24">
        <f t="shared" ca="1" si="41"/>
        <v>0</v>
      </c>
      <c r="BN52" s="24">
        <f ca="1">SUM(AB$7:AB52)</f>
        <v>0</v>
      </c>
      <c r="BO52" s="46">
        <f ca="1">SUM(AC$7:AC51)</f>
        <v>0</v>
      </c>
      <c r="BP52" s="24">
        <f t="shared" ca="1" si="42"/>
        <v>0</v>
      </c>
      <c r="BR52" s="24">
        <f ca="1">SUM(AH$7:AH52)</f>
        <v>0</v>
      </c>
      <c r="BS52" s="46">
        <f ca="1">SUM(AI$7:AI51)</f>
        <v>0</v>
      </c>
      <c r="BT52" s="24">
        <f t="shared" ca="1" si="43"/>
        <v>0</v>
      </c>
    </row>
    <row r="53" spans="1:72" s="12" customFormat="1">
      <c r="A53" s="202">
        <f>Kontenplan!C55</f>
        <v>0</v>
      </c>
      <c r="B53" s="224">
        <f>Kontenplan!E55</f>
        <v>0</v>
      </c>
      <c r="C53" s="225">
        <f>Kontenplan!F55</f>
        <v>0</v>
      </c>
      <c r="D53" s="43">
        <f>IF(B53=0,0,SUMIF(Journal!$F$7:$F$83,Calc!B53,Journal!$I$7:$I$83))</f>
        <v>0</v>
      </c>
      <c r="E53" s="15">
        <f>IF(B53=0,0,SUMIF(Journal!$G$7:$M127,Calc!B53,Journal!$I$7:$I$83))</f>
        <v>0</v>
      </c>
      <c r="F53" s="44">
        <f t="shared" si="7"/>
        <v>0</v>
      </c>
      <c r="G53" s="15">
        <f t="shared" si="8"/>
        <v>0</v>
      </c>
      <c r="H53" s="14" t="str">
        <f t="shared" si="9"/>
        <v xml:space="preserve"> </v>
      </c>
      <c r="I53" s="43" t="str">
        <f t="shared" si="10"/>
        <v xml:space="preserve"> </v>
      </c>
      <c r="J53" s="45" t="str">
        <f t="shared" si="11"/>
        <v xml:space="preserve"> </v>
      </c>
      <c r="K53" s="48" t="str">
        <f t="shared" si="12"/>
        <v xml:space="preserve"> </v>
      </c>
      <c r="L53" s="45" t="str">
        <f t="shared" si="13"/>
        <v xml:space="preserve"> </v>
      </c>
      <c r="M53" s="48" t="str">
        <f t="shared" si="14"/>
        <v xml:space="preserve"> </v>
      </c>
      <c r="N53" s="24"/>
      <c r="O53" s="12">
        <f t="shared" si="15"/>
        <v>10.007399999999983</v>
      </c>
      <c r="P53" s="12">
        <f t="shared" si="16"/>
        <v>9.0055999999999869</v>
      </c>
      <c r="Q53" s="12">
        <f t="shared" si="17"/>
        <v>28</v>
      </c>
      <c r="R53" s="12">
        <f t="shared" si="18"/>
        <v>9.3999999999999986E-3</v>
      </c>
      <c r="S53" s="12">
        <f t="shared" si="19"/>
        <v>0</v>
      </c>
      <c r="T53" s="12">
        <f t="shared" si="20"/>
        <v>0</v>
      </c>
      <c r="U53" s="43">
        <f>IF(OR(A53=Kontenplan!$C$3,A53=Kontenplan!$C$5),F53-G53,G53-F53)</f>
        <v>0</v>
      </c>
      <c r="V53" s="171">
        <f t="shared" si="3"/>
        <v>47</v>
      </c>
      <c r="W53" s="12">
        <f t="shared" si="4"/>
        <v>20</v>
      </c>
      <c r="X53" s="12">
        <f t="shared" si="5"/>
        <v>22</v>
      </c>
      <c r="Y53" s="12">
        <f>IF(Z53=0,VLOOKUP(W53,Kontenplan!$Y$9:$AA$551,3),"")</f>
        <v>0</v>
      </c>
      <c r="Z53" s="12">
        <f t="shared" si="21"/>
        <v>0</v>
      </c>
      <c r="AA53" s="12" t="str">
        <f t="shared" ca="1" si="22"/>
        <v/>
      </c>
      <c r="AB53" s="46" t="str">
        <f t="shared" ca="1" si="23"/>
        <v/>
      </c>
      <c r="AC53" s="46" t="str">
        <f t="shared" ca="1" si="24"/>
        <v/>
      </c>
      <c r="AD53" s="47"/>
      <c r="AE53" s="12">
        <f>IF(AF53=0,VLOOKUP(X53,Kontenplan!$Z$9:$AB$551,3),"")</f>
        <v>0</v>
      </c>
      <c r="AF53" s="47">
        <f t="shared" si="25"/>
        <v>0</v>
      </c>
      <c r="AG53" s="12" t="str">
        <f t="shared" ca="1" si="26"/>
        <v/>
      </c>
      <c r="AH53" s="46" t="str">
        <f t="shared" ca="1" si="27"/>
        <v/>
      </c>
      <c r="AI53" s="46" t="str">
        <f t="shared" ca="1" si="28"/>
        <v/>
      </c>
      <c r="AJ53" s="46"/>
      <c r="AK53" s="147">
        <f t="shared" ca="1" si="29"/>
        <v>2.0037000000000078</v>
      </c>
      <c r="AL53" s="147">
        <f t="shared" si="30"/>
        <v>2.0040000000000084</v>
      </c>
      <c r="AM53" s="12" t="str">
        <f>IF(V53&lt;=AO$3,VLOOKUP(V53,Kontenplan!$A$9:$D$278,4),"")</f>
        <v/>
      </c>
      <c r="AN53" s="12">
        <f t="shared" si="31"/>
        <v>0</v>
      </c>
      <c r="AO53" s="12" t="str">
        <f t="shared" ca="1" si="32"/>
        <v/>
      </c>
      <c r="AP53" s="46" t="str">
        <f t="shared" ca="1" si="33"/>
        <v/>
      </c>
      <c r="AQ53" s="46" t="str">
        <f t="shared" ca="1" si="34"/>
        <v/>
      </c>
      <c r="AR53" s="46"/>
      <c r="AS53" s="147">
        <f t="shared" ca="1" si="35"/>
        <v>3.0036000000000076</v>
      </c>
      <c r="AT53" s="147">
        <f t="shared" si="36"/>
        <v>2.0041000000000087</v>
      </c>
      <c r="AU53" s="47" t="str">
        <f>IF(V53&lt;=AW$3,VLOOKUP(AO$3+V53,Kontenplan!$A$9:$D$278,4),"")</f>
        <v/>
      </c>
      <c r="AV53" s="12">
        <f t="shared" si="37"/>
        <v>0</v>
      </c>
      <c r="AW53" s="12" t="str">
        <f t="shared" ca="1" si="38"/>
        <v/>
      </c>
      <c r="AX53" s="46" t="str">
        <f t="shared" ca="1" si="6"/>
        <v/>
      </c>
      <c r="AY53" s="46" t="str">
        <f t="shared" ca="1" si="39"/>
        <v/>
      </c>
      <c r="BA53" s="12">
        <f>Kontenplan!R55</f>
        <v>3</v>
      </c>
      <c r="BB53" s="12">
        <f>Kontenplan!S55</f>
        <v>2</v>
      </c>
      <c r="BC53" s="12">
        <f>Kontenplan!T55</f>
        <v>4</v>
      </c>
      <c r="BD53" s="170">
        <f>Kontenplan!U55</f>
        <v>0</v>
      </c>
      <c r="BF53" s="24">
        <f ca="1">SUM(AP$7:AP53)</f>
        <v>0</v>
      </c>
      <c r="BG53" s="46">
        <f ca="1">SUM(AQ$7:AQ52)</f>
        <v>0</v>
      </c>
      <c r="BH53" s="24">
        <f t="shared" ca="1" si="40"/>
        <v>0</v>
      </c>
      <c r="BI53" s="24"/>
      <c r="BJ53" s="24">
        <f ca="1">SUM(AX$7:AX53)</f>
        <v>0</v>
      </c>
      <c r="BK53" s="24">
        <f ca="1">SUM(AY$7:AY52)</f>
        <v>0</v>
      </c>
      <c r="BL53" s="24">
        <f t="shared" ca="1" si="41"/>
        <v>0</v>
      </c>
      <c r="BN53" s="24">
        <f ca="1">SUM(AB$7:AB53)</f>
        <v>0</v>
      </c>
      <c r="BO53" s="46">
        <f ca="1">SUM(AC$7:AC52)</f>
        <v>0</v>
      </c>
      <c r="BP53" s="24">
        <f t="shared" ca="1" si="42"/>
        <v>0</v>
      </c>
      <c r="BR53" s="24">
        <f ca="1">SUM(AH$7:AH53)</f>
        <v>0</v>
      </c>
      <c r="BS53" s="46">
        <f ca="1">SUM(AI$7:AI52)</f>
        <v>0</v>
      </c>
      <c r="BT53" s="24">
        <f t="shared" ca="1" si="43"/>
        <v>0</v>
      </c>
    </row>
    <row r="54" spans="1:72" s="12" customFormat="1">
      <c r="A54" s="202" t="str">
        <f>Kontenplan!C56</f>
        <v>Aufwandskonto</v>
      </c>
      <c r="B54" s="224">
        <f>Kontenplan!E56</f>
        <v>4000</v>
      </c>
      <c r="C54" s="225" t="str">
        <f>Kontenplan!F56</f>
        <v>Gebühren Cablecom</v>
      </c>
      <c r="D54" s="43">
        <f>IF(B54=0,0,SUMIF(Journal!$F$7:$F$83,Calc!B54,Journal!$I$7:$I$83))</f>
        <v>0</v>
      </c>
      <c r="E54" s="15">
        <f ca="1">IF(B54=0,0,SUMIF(Journal!$G$7:$M128,Calc!B54,Journal!$I$7:$I$83))</f>
        <v>0</v>
      </c>
      <c r="F54" s="44">
        <f t="shared" ca="1" si="7"/>
        <v>0</v>
      </c>
      <c r="G54" s="15">
        <f t="shared" ca="1" si="8"/>
        <v>0</v>
      </c>
      <c r="H54" s="14" t="str">
        <f t="shared" ca="1" si="9"/>
        <v xml:space="preserve"> </v>
      </c>
      <c r="I54" s="43" t="str">
        <f t="shared" ca="1" si="10"/>
        <v xml:space="preserve"> </v>
      </c>
      <c r="J54" s="45" t="str">
        <f t="shared" ca="1" si="11"/>
        <v xml:space="preserve"> </v>
      </c>
      <c r="K54" s="48" t="str">
        <f t="shared" ca="1" si="12"/>
        <v xml:space="preserve"> </v>
      </c>
      <c r="L54" s="45" t="str">
        <f t="shared" ca="1" si="13"/>
        <v xml:space="preserve"> </v>
      </c>
      <c r="M54" s="48" t="str">
        <f t="shared" ca="1" si="14"/>
        <v xml:space="preserve"> </v>
      </c>
      <c r="N54" s="24"/>
      <c r="O54" s="12">
        <f t="shared" si="15"/>
        <v>10.007599999999982</v>
      </c>
      <c r="P54" s="12">
        <f t="shared" si="16"/>
        <v>9.0057999999999865</v>
      </c>
      <c r="Q54" s="12">
        <f t="shared" si="17"/>
        <v>29</v>
      </c>
      <c r="R54" s="12">
        <f t="shared" si="18"/>
        <v>9.5999999999999992E-3</v>
      </c>
      <c r="S54" s="12">
        <f t="shared" si="19"/>
        <v>4000</v>
      </c>
      <c r="T54" s="12" t="str">
        <f t="shared" si="20"/>
        <v>Gebühren Cablecom</v>
      </c>
      <c r="U54" s="43">
        <f ca="1">IF(OR(A54=Kontenplan!$C$3,A54=Kontenplan!$C$5),F54-G54,G54-F54)</f>
        <v>0</v>
      </c>
      <c r="V54" s="171">
        <f t="shared" si="3"/>
        <v>48</v>
      </c>
      <c r="W54" s="12">
        <f t="shared" si="4"/>
        <v>21</v>
      </c>
      <c r="X54" s="12">
        <f t="shared" si="5"/>
        <v>23</v>
      </c>
      <c r="Y54" s="12">
        <f>IF(Z54=0,VLOOKUP(W54,Kontenplan!$Y$9:$AA$551,3),"")</f>
        <v>0</v>
      </c>
      <c r="Z54" s="12">
        <f t="shared" si="21"/>
        <v>0</v>
      </c>
      <c r="AA54" s="12" t="str">
        <f t="shared" ca="1" si="22"/>
        <v/>
      </c>
      <c r="AB54" s="46" t="str">
        <f t="shared" ca="1" si="23"/>
        <v/>
      </c>
      <c r="AC54" s="46" t="str">
        <f t="shared" ca="1" si="24"/>
        <v/>
      </c>
      <c r="AD54" s="47"/>
      <c r="AE54" s="12">
        <f>IF(AF54=0,VLOOKUP(X54,Kontenplan!$Z$9:$AB$551,3),"")</f>
        <v>0</v>
      </c>
      <c r="AF54" s="47">
        <f t="shared" si="25"/>
        <v>0</v>
      </c>
      <c r="AG54" s="12" t="str">
        <f t="shared" ca="1" si="26"/>
        <v/>
      </c>
      <c r="AH54" s="46" t="str">
        <f t="shared" ca="1" si="27"/>
        <v/>
      </c>
      <c r="AI54" s="46" t="str">
        <f t="shared" ca="1" si="28"/>
        <v/>
      </c>
      <c r="AJ54" s="46"/>
      <c r="AK54" s="147">
        <f t="shared" ca="1" si="29"/>
        <v>2.003800000000008</v>
      </c>
      <c r="AL54" s="147">
        <f t="shared" si="30"/>
        <v>2.0041000000000087</v>
      </c>
      <c r="AM54" s="12" t="str">
        <f>IF(V54&lt;=AO$3,VLOOKUP(V54,Kontenplan!$A$9:$D$278,4),"")</f>
        <v/>
      </c>
      <c r="AN54" s="12">
        <f t="shared" si="31"/>
        <v>0</v>
      </c>
      <c r="AO54" s="12" t="str">
        <f t="shared" ca="1" si="32"/>
        <v/>
      </c>
      <c r="AP54" s="46" t="str">
        <f t="shared" ca="1" si="33"/>
        <v/>
      </c>
      <c r="AQ54" s="46" t="str">
        <f t="shared" ca="1" si="34"/>
        <v/>
      </c>
      <c r="AR54" s="46"/>
      <c r="AS54" s="147">
        <f t="shared" ca="1" si="35"/>
        <v>3.0037000000000078</v>
      </c>
      <c r="AT54" s="147">
        <f t="shared" si="36"/>
        <v>2.0042000000000089</v>
      </c>
      <c r="AU54" s="47" t="str">
        <f>IF(V54&lt;=AW$3,VLOOKUP(AO$3+V54,Kontenplan!$A$9:$D$278,4),"")</f>
        <v/>
      </c>
      <c r="AV54" s="12">
        <f t="shared" si="37"/>
        <v>0</v>
      </c>
      <c r="AW54" s="12" t="str">
        <f t="shared" ca="1" si="38"/>
        <v/>
      </c>
      <c r="AX54" s="46" t="str">
        <f t="shared" ca="1" si="6"/>
        <v/>
      </c>
      <c r="AY54" s="46" t="str">
        <f t="shared" ca="1" si="39"/>
        <v/>
      </c>
      <c r="BA54" s="12">
        <f>Kontenplan!R56</f>
        <v>3</v>
      </c>
      <c r="BB54" s="12">
        <f>Kontenplan!S56</f>
        <v>2</v>
      </c>
      <c r="BC54" s="12">
        <f>Kontenplan!T56</f>
        <v>4</v>
      </c>
      <c r="BD54" s="170">
        <f>Kontenplan!U56</f>
        <v>0</v>
      </c>
      <c r="BF54" s="24">
        <f ca="1">SUM(AP$7:AP54)</f>
        <v>0</v>
      </c>
      <c r="BG54" s="46">
        <f ca="1">SUM(AQ$7:AQ53)</f>
        <v>0</v>
      </c>
      <c r="BH54" s="24">
        <f t="shared" ca="1" si="40"/>
        <v>0</v>
      </c>
      <c r="BI54" s="24"/>
      <c r="BJ54" s="24">
        <f ca="1">SUM(AX$7:AX54)</f>
        <v>0</v>
      </c>
      <c r="BK54" s="24">
        <f ca="1">SUM(AY$7:AY53)</f>
        <v>0</v>
      </c>
      <c r="BL54" s="24">
        <f t="shared" ca="1" si="41"/>
        <v>0</v>
      </c>
      <c r="BN54" s="24">
        <f ca="1">SUM(AB$7:AB54)</f>
        <v>0</v>
      </c>
      <c r="BO54" s="46">
        <f ca="1">SUM(AC$7:AC53)</f>
        <v>0</v>
      </c>
      <c r="BP54" s="24">
        <f t="shared" ca="1" si="42"/>
        <v>0</v>
      </c>
      <c r="BR54" s="24">
        <f ca="1">SUM(AH$7:AH54)</f>
        <v>0</v>
      </c>
      <c r="BS54" s="46">
        <f ca="1">SUM(AI$7:AI53)</f>
        <v>0</v>
      </c>
      <c r="BT54" s="24">
        <f t="shared" ca="1" si="43"/>
        <v>0</v>
      </c>
    </row>
    <row r="55" spans="1:72" s="12" customFormat="1">
      <c r="A55" s="202" t="str">
        <f>Kontenplan!C57</f>
        <v>Aufwandskonto</v>
      </c>
      <c r="B55" s="224">
        <f>Kontenplan!E57</f>
        <v>4100</v>
      </c>
      <c r="C55" s="225" t="str">
        <f>Kontenplan!F57</f>
        <v>Kehrrichtgebühren</v>
      </c>
      <c r="D55" s="43">
        <f>IF(B55=0,0,SUMIF(Journal!$F$7:$F$83,Calc!B55,Journal!$I$7:$I$83))</f>
        <v>0</v>
      </c>
      <c r="E55" s="15">
        <f ca="1">IF(B55=0,0,SUMIF(Journal!$G$7:$M129,Calc!B55,Journal!$I$7:$I$83))</f>
        <v>0</v>
      </c>
      <c r="F55" s="44">
        <f t="shared" ca="1" si="7"/>
        <v>0</v>
      </c>
      <c r="G55" s="15">
        <f t="shared" ca="1" si="8"/>
        <v>0</v>
      </c>
      <c r="H55" s="14" t="str">
        <f t="shared" ca="1" si="9"/>
        <v xml:space="preserve"> </v>
      </c>
      <c r="I55" s="43" t="str">
        <f t="shared" ca="1" si="10"/>
        <v xml:space="preserve"> </v>
      </c>
      <c r="J55" s="45" t="str">
        <f t="shared" ca="1" si="11"/>
        <v xml:space="preserve"> </v>
      </c>
      <c r="K55" s="48" t="str">
        <f t="shared" ca="1" si="12"/>
        <v xml:space="preserve"> </v>
      </c>
      <c r="L55" s="45" t="str">
        <f t="shared" ca="1" si="13"/>
        <v xml:space="preserve"> </v>
      </c>
      <c r="M55" s="48" t="str">
        <f t="shared" ca="1" si="14"/>
        <v xml:space="preserve"> </v>
      </c>
      <c r="N55" s="24"/>
      <c r="O55" s="12">
        <f t="shared" si="15"/>
        <v>10.007799999999982</v>
      </c>
      <c r="P55" s="12">
        <f t="shared" si="16"/>
        <v>9.005999999999986</v>
      </c>
      <c r="Q55" s="12">
        <f t="shared" si="17"/>
        <v>30</v>
      </c>
      <c r="R55" s="12">
        <f t="shared" si="18"/>
        <v>9.7999999999999997E-3</v>
      </c>
      <c r="S55" s="12">
        <f t="shared" si="19"/>
        <v>4100</v>
      </c>
      <c r="T55" s="12" t="str">
        <f t="shared" si="20"/>
        <v>Kehrrichtgebühren</v>
      </c>
      <c r="U55" s="43">
        <f ca="1">IF(OR(A55=Kontenplan!$C$3,A55=Kontenplan!$C$5),F55-G55,G55-F55)</f>
        <v>0</v>
      </c>
      <c r="V55" s="171">
        <f t="shared" si="3"/>
        <v>49</v>
      </c>
      <c r="W55" s="12">
        <f t="shared" si="4"/>
        <v>22</v>
      </c>
      <c r="X55" s="12">
        <f t="shared" si="5"/>
        <v>24</v>
      </c>
      <c r="Y55" s="12">
        <f>IF(Z55=0,VLOOKUP(W55,Kontenplan!$Y$9:$AA$551,3),"")</f>
        <v>0</v>
      </c>
      <c r="Z55" s="12">
        <f t="shared" si="21"/>
        <v>0</v>
      </c>
      <c r="AA55" s="12" t="str">
        <f t="shared" ca="1" si="22"/>
        <v/>
      </c>
      <c r="AB55" s="46" t="str">
        <f t="shared" ca="1" si="23"/>
        <v/>
      </c>
      <c r="AC55" s="46" t="str">
        <f t="shared" ca="1" si="24"/>
        <v/>
      </c>
      <c r="AD55" s="47"/>
      <c r="AE55" s="12">
        <f>IF(AF55=0,VLOOKUP(X55,Kontenplan!$Z$9:$AB$551,3),"")</f>
        <v>0</v>
      </c>
      <c r="AF55" s="47">
        <f t="shared" si="25"/>
        <v>0</v>
      </c>
      <c r="AG55" s="12" t="str">
        <f t="shared" ca="1" si="26"/>
        <v/>
      </c>
      <c r="AH55" s="46" t="str">
        <f t="shared" ca="1" si="27"/>
        <v/>
      </c>
      <c r="AI55" s="46" t="str">
        <f t="shared" ca="1" si="28"/>
        <v/>
      </c>
      <c r="AJ55" s="46"/>
      <c r="AK55" s="147">
        <f t="shared" ca="1" si="29"/>
        <v>2.0039000000000082</v>
      </c>
      <c r="AL55" s="147">
        <f t="shared" si="30"/>
        <v>2.0042000000000089</v>
      </c>
      <c r="AM55" s="12" t="str">
        <f>IF(V55&lt;=AO$3,VLOOKUP(V55,Kontenplan!$A$9:$D$278,4),"")</f>
        <v/>
      </c>
      <c r="AN55" s="12">
        <f t="shared" si="31"/>
        <v>0</v>
      </c>
      <c r="AO55" s="12" t="str">
        <f t="shared" ca="1" si="32"/>
        <v/>
      </c>
      <c r="AP55" s="46" t="str">
        <f t="shared" ca="1" si="33"/>
        <v/>
      </c>
      <c r="AQ55" s="46" t="str">
        <f t="shared" ca="1" si="34"/>
        <v/>
      </c>
      <c r="AR55" s="46"/>
      <c r="AS55" s="147">
        <f t="shared" ca="1" si="35"/>
        <v>3.003800000000008</v>
      </c>
      <c r="AT55" s="147">
        <f t="shared" si="36"/>
        <v>2.0043000000000091</v>
      </c>
      <c r="AU55" s="47" t="str">
        <f>IF(V55&lt;=AW$3,VLOOKUP(AO$3+V55,Kontenplan!$A$9:$D$278,4),"")</f>
        <v/>
      </c>
      <c r="AV55" s="12">
        <f t="shared" si="37"/>
        <v>0</v>
      </c>
      <c r="AW55" s="12" t="str">
        <f t="shared" ca="1" si="38"/>
        <v/>
      </c>
      <c r="AX55" s="46" t="str">
        <f t="shared" ca="1" si="6"/>
        <v/>
      </c>
      <c r="AY55" s="46" t="str">
        <f t="shared" ca="1" si="39"/>
        <v/>
      </c>
      <c r="BA55" s="12">
        <f>Kontenplan!R57</f>
        <v>3</v>
      </c>
      <c r="BB55" s="12">
        <f>Kontenplan!S57</f>
        <v>2</v>
      </c>
      <c r="BC55" s="12">
        <f>Kontenplan!T57</f>
        <v>4</v>
      </c>
      <c r="BD55" s="170">
        <f>Kontenplan!U57</f>
        <v>0</v>
      </c>
      <c r="BF55" s="24">
        <f ca="1">SUM(AP$7:AP55)</f>
        <v>0</v>
      </c>
      <c r="BG55" s="46">
        <f ca="1">SUM(AQ$7:AQ54)</f>
        <v>0</v>
      </c>
      <c r="BH55" s="24">
        <f t="shared" ca="1" si="40"/>
        <v>0</v>
      </c>
      <c r="BI55" s="24"/>
      <c r="BJ55" s="24">
        <f ca="1">SUM(AX$7:AX55)</f>
        <v>0</v>
      </c>
      <c r="BK55" s="24">
        <f ca="1">SUM(AY$7:AY54)</f>
        <v>0</v>
      </c>
      <c r="BL55" s="24">
        <f t="shared" ca="1" si="41"/>
        <v>0</v>
      </c>
      <c r="BN55" s="24">
        <f ca="1">SUM(AB$7:AB55)</f>
        <v>0</v>
      </c>
      <c r="BO55" s="46">
        <f ca="1">SUM(AC$7:AC54)</f>
        <v>0</v>
      </c>
      <c r="BP55" s="24">
        <f t="shared" ca="1" si="42"/>
        <v>0</v>
      </c>
      <c r="BR55" s="24">
        <f ca="1">SUM(AH$7:AH55)</f>
        <v>0</v>
      </c>
      <c r="BS55" s="46">
        <f ca="1">SUM(AI$7:AI54)</f>
        <v>0</v>
      </c>
      <c r="BT55" s="24">
        <f t="shared" ca="1" si="43"/>
        <v>0</v>
      </c>
    </row>
    <row r="56" spans="1:72" s="12" customFormat="1">
      <c r="A56" s="202" t="str">
        <f>Kontenplan!C58</f>
        <v>Aufwandskonto</v>
      </c>
      <c r="B56" s="224">
        <f>Kontenplan!E58</f>
        <v>4200</v>
      </c>
      <c r="C56" s="225" t="str">
        <f>Kontenplan!F58</f>
        <v>Erstellen Heizkostenabrchg</v>
      </c>
      <c r="D56" s="43">
        <f>IF(B56=0,0,SUMIF(Journal!$F$7:$F$83,Calc!B56,Journal!$I$7:$I$83))</f>
        <v>0</v>
      </c>
      <c r="E56" s="15">
        <f ca="1">IF(B56=0,0,SUMIF(Journal!$G$7:$M130,Calc!B56,Journal!$I$7:$I$83))</f>
        <v>0</v>
      </c>
      <c r="F56" s="44">
        <f t="shared" ca="1" si="7"/>
        <v>0</v>
      </c>
      <c r="G56" s="15">
        <f t="shared" ca="1" si="8"/>
        <v>0</v>
      </c>
      <c r="H56" s="14" t="str">
        <f t="shared" ca="1" si="9"/>
        <v xml:space="preserve"> </v>
      </c>
      <c r="I56" s="43" t="str">
        <f t="shared" ca="1" si="10"/>
        <v xml:space="preserve"> </v>
      </c>
      <c r="J56" s="45" t="str">
        <f t="shared" ca="1" si="11"/>
        <v xml:space="preserve"> </v>
      </c>
      <c r="K56" s="48" t="str">
        <f t="shared" ca="1" si="12"/>
        <v xml:space="preserve"> </v>
      </c>
      <c r="L56" s="45" t="str">
        <f t="shared" ca="1" si="13"/>
        <v xml:space="preserve"> </v>
      </c>
      <c r="M56" s="48" t="str">
        <f t="shared" ca="1" si="14"/>
        <v xml:space="preserve"> </v>
      </c>
      <c r="N56" s="24"/>
      <c r="O56" s="12">
        <f t="shared" si="15"/>
        <v>10.007999999999981</v>
      </c>
      <c r="P56" s="12">
        <f t="shared" si="16"/>
        <v>9.0061999999999856</v>
      </c>
      <c r="Q56" s="12">
        <f t="shared" si="17"/>
        <v>31</v>
      </c>
      <c r="R56" s="12">
        <f t="shared" si="18"/>
        <v>0.01</v>
      </c>
      <c r="S56" s="12">
        <f t="shared" si="19"/>
        <v>4200</v>
      </c>
      <c r="T56" s="12" t="str">
        <f t="shared" si="20"/>
        <v>Erstellen Heizkostenabrchg</v>
      </c>
      <c r="U56" s="43">
        <f ca="1">IF(OR(A56=Kontenplan!$C$3,A56=Kontenplan!$C$5),F56-G56,G56-F56)</f>
        <v>0</v>
      </c>
      <c r="V56" s="171">
        <f t="shared" si="3"/>
        <v>50</v>
      </c>
      <c r="W56" s="12">
        <f t="shared" si="4"/>
        <v>23</v>
      </c>
      <c r="X56" s="12">
        <f t="shared" si="5"/>
        <v>25</v>
      </c>
      <c r="Y56" s="12">
        <f>IF(Z56=0,VLOOKUP(W56,Kontenplan!$Y$9:$AA$551,3),"")</f>
        <v>0</v>
      </c>
      <c r="Z56" s="12">
        <f t="shared" si="21"/>
        <v>0</v>
      </c>
      <c r="AA56" s="12" t="str">
        <f t="shared" ca="1" si="22"/>
        <v/>
      </c>
      <c r="AB56" s="46" t="str">
        <f t="shared" ca="1" si="23"/>
        <v/>
      </c>
      <c r="AC56" s="46" t="str">
        <f t="shared" ca="1" si="24"/>
        <v/>
      </c>
      <c r="AD56" s="47"/>
      <c r="AE56" s="12">
        <f>IF(AF56=0,VLOOKUP(X56,Kontenplan!$Z$9:$AB$551,3),"")</f>
        <v>0</v>
      </c>
      <c r="AF56" s="47">
        <f t="shared" si="25"/>
        <v>0</v>
      </c>
      <c r="AG56" s="12" t="str">
        <f t="shared" ca="1" si="26"/>
        <v/>
      </c>
      <c r="AH56" s="46" t="str">
        <f t="shared" ca="1" si="27"/>
        <v/>
      </c>
      <c r="AI56" s="46" t="str">
        <f t="shared" ca="1" si="28"/>
        <v/>
      </c>
      <c r="AJ56" s="46"/>
      <c r="AK56" s="147">
        <f t="shared" ca="1" si="29"/>
        <v>2.0040000000000084</v>
      </c>
      <c r="AL56" s="147">
        <f t="shared" si="30"/>
        <v>2.0043000000000091</v>
      </c>
      <c r="AM56" s="12" t="str">
        <f>IF(V56&lt;=AO$3,VLOOKUP(V56,Kontenplan!$A$9:$D$278,4),"")</f>
        <v/>
      </c>
      <c r="AN56" s="12">
        <f t="shared" si="31"/>
        <v>0</v>
      </c>
      <c r="AO56" s="12" t="str">
        <f t="shared" ca="1" si="32"/>
        <v/>
      </c>
      <c r="AP56" s="46" t="str">
        <f t="shared" ca="1" si="33"/>
        <v/>
      </c>
      <c r="AQ56" s="46" t="str">
        <f t="shared" ca="1" si="34"/>
        <v/>
      </c>
      <c r="AR56" s="46"/>
      <c r="AS56" s="147">
        <f t="shared" ca="1" si="35"/>
        <v>3.0039000000000082</v>
      </c>
      <c r="AT56" s="147">
        <f t="shared" si="36"/>
        <v>2.0044000000000093</v>
      </c>
      <c r="AU56" s="47" t="str">
        <f>IF(V56&lt;=AW$3,VLOOKUP(AO$3+V56,Kontenplan!$A$9:$D$278,4),"")</f>
        <v/>
      </c>
      <c r="AV56" s="12">
        <f t="shared" si="37"/>
        <v>0</v>
      </c>
      <c r="AW56" s="12" t="str">
        <f t="shared" ca="1" si="38"/>
        <v/>
      </c>
      <c r="AX56" s="46" t="str">
        <f t="shared" ca="1" si="6"/>
        <v/>
      </c>
      <c r="AY56" s="46" t="str">
        <f t="shared" ca="1" si="39"/>
        <v/>
      </c>
      <c r="BA56" s="12">
        <f>Kontenplan!R58</f>
        <v>3</v>
      </c>
      <c r="BB56" s="12">
        <f>Kontenplan!S58</f>
        <v>2</v>
      </c>
      <c r="BC56" s="12">
        <f>Kontenplan!T58</f>
        <v>4</v>
      </c>
      <c r="BD56" s="170">
        <f>Kontenplan!U58</f>
        <v>0</v>
      </c>
      <c r="BF56" s="24">
        <f ca="1">SUM(AP$7:AP56)</f>
        <v>0</v>
      </c>
      <c r="BG56" s="46">
        <f ca="1">SUM(AQ$7:AQ55)</f>
        <v>0</v>
      </c>
      <c r="BH56" s="24">
        <f t="shared" ca="1" si="40"/>
        <v>0</v>
      </c>
      <c r="BI56" s="24"/>
      <c r="BJ56" s="24">
        <f ca="1">SUM(AX$7:AX56)</f>
        <v>0</v>
      </c>
      <c r="BK56" s="24">
        <f ca="1">SUM(AY$7:AY55)</f>
        <v>0</v>
      </c>
      <c r="BL56" s="24">
        <f t="shared" ca="1" si="41"/>
        <v>0</v>
      </c>
      <c r="BN56" s="24">
        <f ca="1">SUM(AB$7:AB56)</f>
        <v>0</v>
      </c>
      <c r="BO56" s="46">
        <f ca="1">SUM(AC$7:AC55)</f>
        <v>0</v>
      </c>
      <c r="BP56" s="24">
        <f t="shared" ca="1" si="42"/>
        <v>0</v>
      </c>
      <c r="BR56" s="24">
        <f ca="1">SUM(AH$7:AH56)</f>
        <v>0</v>
      </c>
      <c r="BS56" s="46">
        <f ca="1">SUM(AI$7:AI55)</f>
        <v>0</v>
      </c>
      <c r="BT56" s="24">
        <f t="shared" ca="1" si="43"/>
        <v>0</v>
      </c>
    </row>
    <row r="57" spans="1:72" s="12" customFormat="1">
      <c r="A57" s="202">
        <f>Kontenplan!C59</f>
        <v>0</v>
      </c>
      <c r="B57" s="224">
        <f>Kontenplan!E59</f>
        <v>0</v>
      </c>
      <c r="C57" s="225">
        <f>Kontenplan!F59</f>
        <v>0</v>
      </c>
      <c r="D57" s="43">
        <f>IF(B57=0,0,SUMIF(Journal!$F$7:$F$83,Calc!B57,Journal!$I$7:$I$83))</f>
        <v>0</v>
      </c>
      <c r="E57" s="15">
        <f>IF(B57=0,0,SUMIF(Journal!$G$7:$M131,Calc!B57,Journal!$I$7:$I$83))</f>
        <v>0</v>
      </c>
      <c r="F57" s="44">
        <f t="shared" si="7"/>
        <v>0</v>
      </c>
      <c r="G57" s="15">
        <f t="shared" si="8"/>
        <v>0</v>
      </c>
      <c r="H57" s="14" t="str">
        <f t="shared" si="9"/>
        <v xml:space="preserve"> </v>
      </c>
      <c r="I57" s="43" t="str">
        <f t="shared" si="10"/>
        <v xml:space="preserve"> </v>
      </c>
      <c r="J57" s="45" t="str">
        <f t="shared" si="11"/>
        <v xml:space="preserve"> </v>
      </c>
      <c r="K57" s="48" t="str">
        <f t="shared" si="12"/>
        <v xml:space="preserve"> </v>
      </c>
      <c r="L57" s="45" t="str">
        <f t="shared" si="13"/>
        <v xml:space="preserve"> </v>
      </c>
      <c r="M57" s="48" t="str">
        <f t="shared" si="14"/>
        <v xml:space="preserve"> </v>
      </c>
      <c r="N57" s="24"/>
      <c r="O57" s="12">
        <f t="shared" si="15"/>
        <v>10.008199999999981</v>
      </c>
      <c r="P57" s="12">
        <f t="shared" si="16"/>
        <v>9.0063999999999851</v>
      </c>
      <c r="Q57" s="12">
        <f t="shared" si="17"/>
        <v>31.0002</v>
      </c>
      <c r="R57" s="12">
        <f t="shared" si="18"/>
        <v>1</v>
      </c>
      <c r="S57" s="12">
        <f t="shared" si="19"/>
        <v>0</v>
      </c>
      <c r="T57" s="12">
        <f t="shared" si="20"/>
        <v>0</v>
      </c>
      <c r="U57" s="43">
        <f>IF(OR(A57=Kontenplan!$C$3,A57=Kontenplan!$C$5),F57-G57,G57-F57)</f>
        <v>0</v>
      </c>
      <c r="V57" s="171">
        <f t="shared" si="3"/>
        <v>51</v>
      </c>
      <c r="W57" s="12">
        <f t="shared" si="4"/>
        <v>24</v>
      </c>
      <c r="X57" s="12">
        <f t="shared" si="5"/>
        <v>26</v>
      </c>
      <c r="Y57" s="12">
        <f>IF(Z57=0,VLOOKUP(W57,Kontenplan!$Y$9:$AA$551,3),"")</f>
        <v>0</v>
      </c>
      <c r="Z57" s="12">
        <f t="shared" si="21"/>
        <v>0</v>
      </c>
      <c r="AA57" s="12" t="str">
        <f t="shared" ca="1" si="22"/>
        <v/>
      </c>
      <c r="AB57" s="46" t="str">
        <f t="shared" ca="1" si="23"/>
        <v/>
      </c>
      <c r="AC57" s="46" t="str">
        <f t="shared" ca="1" si="24"/>
        <v/>
      </c>
      <c r="AD57" s="47"/>
      <c r="AE57" s="12">
        <f>IF(AF57=0,VLOOKUP(X57,Kontenplan!$Z$9:$AB$551,3),"")</f>
        <v>0</v>
      </c>
      <c r="AF57" s="47">
        <f t="shared" si="25"/>
        <v>0</v>
      </c>
      <c r="AG57" s="12" t="str">
        <f t="shared" ca="1" si="26"/>
        <v/>
      </c>
      <c r="AH57" s="46" t="str">
        <f t="shared" ca="1" si="27"/>
        <v/>
      </c>
      <c r="AI57" s="46" t="str">
        <f t="shared" ca="1" si="28"/>
        <v/>
      </c>
      <c r="AJ57" s="46"/>
      <c r="AK57" s="147">
        <f t="shared" ca="1" si="29"/>
        <v>2.0041000000000087</v>
      </c>
      <c r="AL57" s="147">
        <f t="shared" si="30"/>
        <v>2.0044000000000093</v>
      </c>
      <c r="AM57" s="12" t="str">
        <f>IF(V57&lt;=AO$3,VLOOKUP(V57,Kontenplan!$A$9:$D$278,4),"")</f>
        <v/>
      </c>
      <c r="AN57" s="12">
        <f t="shared" si="31"/>
        <v>0</v>
      </c>
      <c r="AO57" s="12" t="str">
        <f t="shared" ca="1" si="32"/>
        <v/>
      </c>
      <c r="AP57" s="46" t="str">
        <f t="shared" ca="1" si="33"/>
        <v/>
      </c>
      <c r="AQ57" s="46" t="str">
        <f t="shared" ca="1" si="34"/>
        <v/>
      </c>
      <c r="AR57" s="46"/>
      <c r="AS57" s="147">
        <f t="shared" ca="1" si="35"/>
        <v>3.0040000000000084</v>
      </c>
      <c r="AT57" s="147">
        <f t="shared" si="36"/>
        <v>2.0045000000000095</v>
      </c>
      <c r="AU57" s="47" t="str">
        <f>IF(V57&lt;=AW$3,VLOOKUP(AO$3+V57,Kontenplan!$A$9:$D$278,4),"")</f>
        <v/>
      </c>
      <c r="AV57" s="12">
        <f t="shared" si="37"/>
        <v>0</v>
      </c>
      <c r="AW57" s="12" t="str">
        <f t="shared" ca="1" si="38"/>
        <v/>
      </c>
      <c r="AX57" s="46" t="str">
        <f t="shared" ca="1" si="6"/>
        <v/>
      </c>
      <c r="AY57" s="46" t="str">
        <f t="shared" ca="1" si="39"/>
        <v/>
      </c>
      <c r="BA57" s="12">
        <f>Kontenplan!R59</f>
        <v>3</v>
      </c>
      <c r="BB57" s="12">
        <f>Kontenplan!S59</f>
        <v>2</v>
      </c>
      <c r="BC57" s="12">
        <f>Kontenplan!T59</f>
        <v>4</v>
      </c>
      <c r="BD57" s="170">
        <f>Kontenplan!U59</f>
        <v>1</v>
      </c>
      <c r="BF57" s="24">
        <f ca="1">SUM(AP$7:AP57)</f>
        <v>0</v>
      </c>
      <c r="BG57" s="46">
        <f ca="1">SUM(AQ$7:AQ56)</f>
        <v>0</v>
      </c>
      <c r="BH57" s="24">
        <f t="shared" ca="1" si="40"/>
        <v>0</v>
      </c>
      <c r="BI57" s="24"/>
      <c r="BJ57" s="24">
        <f ca="1">SUM(AX$7:AX57)</f>
        <v>0</v>
      </c>
      <c r="BK57" s="24">
        <f ca="1">SUM(AY$7:AY56)</f>
        <v>0</v>
      </c>
      <c r="BL57" s="24">
        <f t="shared" ca="1" si="41"/>
        <v>0</v>
      </c>
      <c r="BN57" s="24">
        <f ca="1">SUM(AB$7:AB57)</f>
        <v>0</v>
      </c>
      <c r="BO57" s="46">
        <f ca="1">SUM(AC$7:AC56)</f>
        <v>0</v>
      </c>
      <c r="BP57" s="24">
        <f t="shared" ca="1" si="42"/>
        <v>0</v>
      </c>
      <c r="BR57" s="24">
        <f ca="1">SUM(AH$7:AH57)</f>
        <v>0</v>
      </c>
      <c r="BS57" s="46">
        <f ca="1">SUM(AI$7:AI56)</f>
        <v>0</v>
      </c>
      <c r="BT57" s="24">
        <f t="shared" ca="1" si="43"/>
        <v>0</v>
      </c>
    </row>
    <row r="58" spans="1:72" s="12" customFormat="1">
      <c r="A58" s="202">
        <f>Kontenplan!C60</f>
        <v>0</v>
      </c>
      <c r="B58" s="224">
        <f>Kontenplan!E60</f>
        <v>0</v>
      </c>
      <c r="C58" s="225">
        <f>Kontenplan!F60</f>
        <v>0</v>
      </c>
      <c r="D58" s="43">
        <f>IF(B58=0,0,SUMIF(Journal!$F$7:$F$83,Calc!B58,Journal!$I$7:$I$83))</f>
        <v>0</v>
      </c>
      <c r="E58" s="15">
        <f>IF(B58=0,0,SUMIF(Journal!$G$7:$M132,Calc!B58,Journal!$I$7:$I$83))</f>
        <v>0</v>
      </c>
      <c r="F58" s="44">
        <f t="shared" si="7"/>
        <v>0</v>
      </c>
      <c r="G58" s="15">
        <f t="shared" si="8"/>
        <v>0</v>
      </c>
      <c r="H58" s="14" t="str">
        <f t="shared" si="9"/>
        <v xml:space="preserve"> </v>
      </c>
      <c r="I58" s="43" t="str">
        <f t="shared" si="10"/>
        <v xml:space="preserve"> </v>
      </c>
      <c r="J58" s="45" t="str">
        <f t="shared" si="11"/>
        <v xml:space="preserve"> </v>
      </c>
      <c r="K58" s="48" t="str">
        <f t="shared" si="12"/>
        <v xml:space="preserve"> </v>
      </c>
      <c r="L58" s="45" t="str">
        <f t="shared" si="13"/>
        <v xml:space="preserve"> </v>
      </c>
      <c r="M58" s="48" t="str">
        <f t="shared" si="14"/>
        <v xml:space="preserve"> </v>
      </c>
      <c r="N58" s="24"/>
      <c r="O58" s="12">
        <f t="shared" si="15"/>
        <v>10.00839999999998</v>
      </c>
      <c r="P58" s="12">
        <f t="shared" si="16"/>
        <v>9.0065999999999846</v>
      </c>
      <c r="Q58" s="12">
        <f t="shared" si="17"/>
        <v>31.000399999999999</v>
      </c>
      <c r="R58" s="12">
        <f t="shared" si="18"/>
        <v>2</v>
      </c>
      <c r="S58" s="12">
        <f t="shared" si="19"/>
        <v>0</v>
      </c>
      <c r="T58" s="12">
        <f t="shared" si="20"/>
        <v>0</v>
      </c>
      <c r="U58" s="43">
        <f>IF(OR(A58=Kontenplan!$C$3,A58=Kontenplan!$C$5),F58-G58,G58-F58)</f>
        <v>0</v>
      </c>
      <c r="V58" s="171">
        <f t="shared" si="3"/>
        <v>52</v>
      </c>
      <c r="W58" s="12">
        <f t="shared" si="4"/>
        <v>25</v>
      </c>
      <c r="X58" s="12">
        <f t="shared" si="5"/>
        <v>27</v>
      </c>
      <c r="Y58" s="12">
        <f>IF(Z58=0,VLOOKUP(W58,Kontenplan!$Y$9:$AA$551,3),"")</f>
        <v>0</v>
      </c>
      <c r="Z58" s="12">
        <f t="shared" si="21"/>
        <v>0</v>
      </c>
      <c r="AA58" s="12" t="str">
        <f t="shared" ca="1" si="22"/>
        <v/>
      </c>
      <c r="AB58" s="46" t="str">
        <f t="shared" ca="1" si="23"/>
        <v/>
      </c>
      <c r="AC58" s="46" t="str">
        <f t="shared" ca="1" si="24"/>
        <v/>
      </c>
      <c r="AD58" s="47"/>
      <c r="AE58" s="12">
        <f>IF(AF58=0,VLOOKUP(X58,Kontenplan!$Z$9:$AB$551,3),"")</f>
        <v>0</v>
      </c>
      <c r="AF58" s="47">
        <f t="shared" si="25"/>
        <v>0</v>
      </c>
      <c r="AG58" s="12" t="str">
        <f t="shared" ca="1" si="26"/>
        <v/>
      </c>
      <c r="AH58" s="46" t="str">
        <f t="shared" ca="1" si="27"/>
        <v/>
      </c>
      <c r="AI58" s="46" t="str">
        <f t="shared" ca="1" si="28"/>
        <v/>
      </c>
      <c r="AJ58" s="46"/>
      <c r="AK58" s="147">
        <f t="shared" ca="1" si="29"/>
        <v>2.0042000000000089</v>
      </c>
      <c r="AL58" s="147">
        <f t="shared" si="30"/>
        <v>2.0045000000000095</v>
      </c>
      <c r="AM58" s="12" t="str">
        <f>IF(V58&lt;=AO$3,VLOOKUP(V58,Kontenplan!$A$9:$D$278,4),"")</f>
        <v/>
      </c>
      <c r="AN58" s="12">
        <f t="shared" si="31"/>
        <v>0</v>
      </c>
      <c r="AO58" s="12" t="str">
        <f t="shared" ca="1" si="32"/>
        <v/>
      </c>
      <c r="AP58" s="46" t="str">
        <f t="shared" ca="1" si="33"/>
        <v/>
      </c>
      <c r="AQ58" s="46" t="str">
        <f t="shared" ca="1" si="34"/>
        <v/>
      </c>
      <c r="AR58" s="46"/>
      <c r="AS58" s="147">
        <f t="shared" ca="1" si="35"/>
        <v>3.0041000000000087</v>
      </c>
      <c r="AT58" s="147">
        <f t="shared" si="36"/>
        <v>2.0046000000000097</v>
      </c>
      <c r="AU58" s="47" t="str">
        <f>IF(V58&lt;=AW$3,VLOOKUP(AO$3+V58,Kontenplan!$A$9:$D$278,4),"")</f>
        <v/>
      </c>
      <c r="AV58" s="12">
        <f t="shared" si="37"/>
        <v>0</v>
      </c>
      <c r="AW58" s="12" t="str">
        <f t="shared" ca="1" si="38"/>
        <v/>
      </c>
      <c r="AX58" s="46" t="str">
        <f t="shared" ca="1" si="6"/>
        <v/>
      </c>
      <c r="AY58" s="46" t="str">
        <f t="shared" ca="1" si="39"/>
        <v/>
      </c>
      <c r="BA58" s="12">
        <f>Kontenplan!R60</f>
        <v>3</v>
      </c>
      <c r="BB58" s="12">
        <f>Kontenplan!S60</f>
        <v>2</v>
      </c>
      <c r="BC58" s="12">
        <f>Kontenplan!T60</f>
        <v>4</v>
      </c>
      <c r="BD58" s="170">
        <f>Kontenplan!U60</f>
        <v>2</v>
      </c>
      <c r="BF58" s="24">
        <f ca="1">SUM(AP$7:AP58)</f>
        <v>0</v>
      </c>
      <c r="BG58" s="46">
        <f ca="1">SUM(AQ$7:AQ57)</f>
        <v>0</v>
      </c>
      <c r="BH58" s="24">
        <f t="shared" ca="1" si="40"/>
        <v>0</v>
      </c>
      <c r="BI58" s="24"/>
      <c r="BJ58" s="24">
        <f ca="1">SUM(AX$7:AX58)</f>
        <v>0</v>
      </c>
      <c r="BK58" s="24">
        <f ca="1">SUM(AY$7:AY57)</f>
        <v>0</v>
      </c>
      <c r="BL58" s="24">
        <f t="shared" ca="1" si="41"/>
        <v>0</v>
      </c>
      <c r="BN58" s="24">
        <f ca="1">SUM(AB$7:AB58)</f>
        <v>0</v>
      </c>
      <c r="BO58" s="46">
        <f ca="1">SUM(AC$7:AC57)</f>
        <v>0</v>
      </c>
      <c r="BP58" s="24">
        <f t="shared" ca="1" si="42"/>
        <v>0</v>
      </c>
      <c r="BR58" s="24">
        <f ca="1">SUM(AH$7:AH58)</f>
        <v>0</v>
      </c>
      <c r="BS58" s="46">
        <f ca="1">SUM(AI$7:AI57)</f>
        <v>0</v>
      </c>
      <c r="BT58" s="24">
        <f t="shared" ca="1" si="43"/>
        <v>0</v>
      </c>
    </row>
    <row r="59" spans="1:72" s="12" customFormat="1">
      <c r="A59" s="202" t="str">
        <f>Kontenplan!C61</f>
        <v>Ertragskonto</v>
      </c>
      <c r="B59" s="224">
        <f>Kontenplan!E61</f>
        <v>5010</v>
      </c>
      <c r="C59" s="225" t="str">
        <f>Kontenplan!F61</f>
        <v>NK-Akkontozhlg: Partei 1</v>
      </c>
      <c r="D59" s="43">
        <f>IF(B59=0,0,SUMIF(Journal!$F$7:$F$83,Calc!B59,Journal!$I$7:$I$83))</f>
        <v>0</v>
      </c>
      <c r="E59" s="15">
        <f ca="1">IF(B59=0,0,SUMIF(Journal!$G$7:$M133,Calc!B59,Journal!$I$7:$I$83))</f>
        <v>0</v>
      </c>
      <c r="F59" s="44">
        <f t="shared" ca="1" si="7"/>
        <v>0</v>
      </c>
      <c r="G59" s="15">
        <f t="shared" ca="1" si="8"/>
        <v>0</v>
      </c>
      <c r="H59" s="14" t="str">
        <f t="shared" ca="1" si="9"/>
        <v xml:space="preserve"> </v>
      </c>
      <c r="I59" s="43" t="str">
        <f t="shared" ca="1" si="10"/>
        <v xml:space="preserve"> </v>
      </c>
      <c r="J59" s="45" t="str">
        <f t="shared" ca="1" si="11"/>
        <v xml:space="preserve"> </v>
      </c>
      <c r="K59" s="48" t="str">
        <f t="shared" ca="1" si="12"/>
        <v xml:space="preserve"> </v>
      </c>
      <c r="L59" s="45" t="str">
        <f t="shared" ca="1" si="13"/>
        <v xml:space="preserve"> </v>
      </c>
      <c r="M59" s="48" t="str">
        <f t="shared" ca="1" si="14"/>
        <v xml:space="preserve"> </v>
      </c>
      <c r="N59" s="24"/>
      <c r="O59" s="12">
        <f t="shared" si="15"/>
        <v>10.00859999999998</v>
      </c>
      <c r="P59" s="12">
        <f t="shared" si="16"/>
        <v>9.0067999999999842</v>
      </c>
      <c r="Q59" s="12">
        <f t="shared" si="17"/>
        <v>31.000599999999999</v>
      </c>
      <c r="R59" s="12">
        <f t="shared" si="18"/>
        <v>3</v>
      </c>
      <c r="S59" s="12">
        <f t="shared" si="19"/>
        <v>5010</v>
      </c>
      <c r="T59" s="12" t="str">
        <f t="shared" si="20"/>
        <v>NK-Akkontozhlg: Partei 1</v>
      </c>
      <c r="U59" s="43">
        <f ca="1">IF(OR(A59=Kontenplan!$C$3,A59=Kontenplan!$C$5),F59-G59,G59-F59)</f>
        <v>0</v>
      </c>
      <c r="V59" s="171">
        <f t="shared" si="3"/>
        <v>53</v>
      </c>
      <c r="W59" s="12">
        <f t="shared" si="4"/>
        <v>26</v>
      </c>
      <c r="X59" s="12">
        <f t="shared" si="5"/>
        <v>28</v>
      </c>
      <c r="Y59" s="12">
        <f>IF(Z59=0,VLOOKUP(W59,Kontenplan!$Y$9:$AA$551,3),"")</f>
        <v>0</v>
      </c>
      <c r="Z59" s="12">
        <f t="shared" si="21"/>
        <v>0</v>
      </c>
      <c r="AA59" s="12" t="str">
        <f t="shared" ca="1" si="22"/>
        <v/>
      </c>
      <c r="AB59" s="46" t="str">
        <f t="shared" ca="1" si="23"/>
        <v/>
      </c>
      <c r="AC59" s="46" t="str">
        <f t="shared" ca="1" si="24"/>
        <v/>
      </c>
      <c r="AD59" s="47"/>
      <c r="AE59" s="12">
        <f>IF(AF59=0,VLOOKUP(X59,Kontenplan!$Z$9:$AB$551,3),"")</f>
        <v>0</v>
      </c>
      <c r="AF59" s="47">
        <f t="shared" si="25"/>
        <v>0</v>
      </c>
      <c r="AG59" s="12" t="str">
        <f t="shared" ca="1" si="26"/>
        <v/>
      </c>
      <c r="AH59" s="46" t="str">
        <f t="shared" ca="1" si="27"/>
        <v/>
      </c>
      <c r="AI59" s="46" t="str">
        <f t="shared" ca="1" si="28"/>
        <v/>
      </c>
      <c r="AJ59" s="46"/>
      <c r="AK59" s="147">
        <f t="shared" ca="1" si="29"/>
        <v>2.0043000000000091</v>
      </c>
      <c r="AL59" s="147">
        <f t="shared" si="30"/>
        <v>2.0046000000000097</v>
      </c>
      <c r="AM59" s="12" t="str">
        <f>IF(V59&lt;=AO$3,VLOOKUP(V59,Kontenplan!$A$9:$D$278,4),"")</f>
        <v/>
      </c>
      <c r="AN59" s="12">
        <f t="shared" si="31"/>
        <v>0</v>
      </c>
      <c r="AO59" s="12" t="str">
        <f t="shared" ca="1" si="32"/>
        <v/>
      </c>
      <c r="AP59" s="46" t="str">
        <f t="shared" ca="1" si="33"/>
        <v/>
      </c>
      <c r="AQ59" s="46" t="str">
        <f t="shared" ca="1" si="34"/>
        <v/>
      </c>
      <c r="AR59" s="46"/>
      <c r="AS59" s="147">
        <f t="shared" ca="1" si="35"/>
        <v>3.0042000000000089</v>
      </c>
      <c r="AT59" s="147">
        <f t="shared" si="36"/>
        <v>2.0047000000000099</v>
      </c>
      <c r="AU59" s="47" t="str">
        <f>IF(V59&lt;=AW$3,VLOOKUP(AO$3+V59,Kontenplan!$A$9:$D$278,4),"")</f>
        <v/>
      </c>
      <c r="AV59" s="12">
        <f t="shared" si="37"/>
        <v>0</v>
      </c>
      <c r="AW59" s="12" t="str">
        <f t="shared" ca="1" si="38"/>
        <v/>
      </c>
      <c r="AX59" s="46" t="str">
        <f t="shared" ca="1" si="6"/>
        <v/>
      </c>
      <c r="AY59" s="46" t="str">
        <f t="shared" ca="1" si="39"/>
        <v/>
      </c>
      <c r="BA59" s="12">
        <f>Kontenplan!R61</f>
        <v>3</v>
      </c>
      <c r="BB59" s="12">
        <f>Kontenplan!S61</f>
        <v>2</v>
      </c>
      <c r="BC59" s="12">
        <f>Kontenplan!T61</f>
        <v>4</v>
      </c>
      <c r="BD59" s="170">
        <f>Kontenplan!U61</f>
        <v>2</v>
      </c>
      <c r="BF59" s="24">
        <f ca="1">SUM(AP$7:AP59)</f>
        <v>0</v>
      </c>
      <c r="BG59" s="46">
        <f ca="1">SUM(AQ$7:AQ58)</f>
        <v>0</v>
      </c>
      <c r="BH59" s="24">
        <f t="shared" ca="1" si="40"/>
        <v>0</v>
      </c>
      <c r="BI59" s="24"/>
      <c r="BJ59" s="24">
        <f ca="1">SUM(AX$7:AX59)</f>
        <v>0</v>
      </c>
      <c r="BK59" s="24">
        <f ca="1">SUM(AY$7:AY58)</f>
        <v>0</v>
      </c>
      <c r="BL59" s="24">
        <f t="shared" ca="1" si="41"/>
        <v>0</v>
      </c>
      <c r="BN59" s="24">
        <f ca="1">SUM(AB$7:AB59)</f>
        <v>0</v>
      </c>
      <c r="BO59" s="46">
        <f ca="1">SUM(AC$7:AC58)</f>
        <v>0</v>
      </c>
      <c r="BP59" s="24">
        <f t="shared" ca="1" si="42"/>
        <v>0</v>
      </c>
      <c r="BR59" s="24">
        <f ca="1">SUM(AH$7:AH59)</f>
        <v>0</v>
      </c>
      <c r="BS59" s="46">
        <f ca="1">SUM(AI$7:AI58)</f>
        <v>0</v>
      </c>
      <c r="BT59" s="24">
        <f t="shared" ca="1" si="43"/>
        <v>0</v>
      </c>
    </row>
    <row r="60" spans="1:72" s="12" customFormat="1">
      <c r="A60" s="202" t="str">
        <f>Kontenplan!C62</f>
        <v>Ertragskonto</v>
      </c>
      <c r="B60" s="224">
        <f>Kontenplan!E62</f>
        <v>5020</v>
      </c>
      <c r="C60" s="225" t="str">
        <f>Kontenplan!F62</f>
        <v>NK-Akkontozhlg: Partei 2</v>
      </c>
      <c r="D60" s="43">
        <f>IF(B60=0,0,SUMIF(Journal!$F$7:$F$83,Calc!B60,Journal!$I$7:$I$83))</f>
        <v>0</v>
      </c>
      <c r="E60" s="15">
        <f ca="1">IF(B60=0,0,SUMIF(Journal!$G$7:$M134,Calc!B60,Journal!$I$7:$I$83))</f>
        <v>0</v>
      </c>
      <c r="F60" s="44">
        <f t="shared" ca="1" si="7"/>
        <v>0</v>
      </c>
      <c r="G60" s="15">
        <f t="shared" ca="1" si="8"/>
        <v>0</v>
      </c>
      <c r="H60" s="14" t="str">
        <f t="shared" ca="1" si="9"/>
        <v xml:space="preserve"> </v>
      </c>
      <c r="I60" s="43" t="str">
        <f t="shared" ca="1" si="10"/>
        <v xml:space="preserve"> </v>
      </c>
      <c r="J60" s="45" t="str">
        <f t="shared" ca="1" si="11"/>
        <v xml:space="preserve"> </v>
      </c>
      <c r="K60" s="48" t="str">
        <f t="shared" ca="1" si="12"/>
        <v xml:space="preserve"> </v>
      </c>
      <c r="L60" s="45" t="str">
        <f t="shared" ca="1" si="13"/>
        <v xml:space="preserve"> </v>
      </c>
      <c r="M60" s="48" t="str">
        <f t="shared" ca="1" si="14"/>
        <v xml:space="preserve"> </v>
      </c>
      <c r="N60" s="24"/>
      <c r="O60" s="12">
        <f t="shared" si="15"/>
        <v>10.008799999999979</v>
      </c>
      <c r="P60" s="12">
        <f t="shared" si="16"/>
        <v>9.0069999999999837</v>
      </c>
      <c r="Q60" s="12">
        <f t="shared" si="17"/>
        <v>31.000799999999998</v>
      </c>
      <c r="R60" s="12">
        <f t="shared" si="18"/>
        <v>4</v>
      </c>
      <c r="S60" s="12">
        <f t="shared" si="19"/>
        <v>5020</v>
      </c>
      <c r="T60" s="12" t="str">
        <f t="shared" si="20"/>
        <v>NK-Akkontozhlg: Partei 2</v>
      </c>
      <c r="U60" s="43">
        <f ca="1">IF(OR(A60=Kontenplan!$C$3,A60=Kontenplan!$C$5),F60-G60,G60-F60)</f>
        <v>0</v>
      </c>
      <c r="V60" s="171">
        <f t="shared" si="3"/>
        <v>54</v>
      </c>
      <c r="W60" s="12">
        <f t="shared" si="4"/>
        <v>27</v>
      </c>
      <c r="X60" s="12">
        <f t="shared" si="5"/>
        <v>29</v>
      </c>
      <c r="Y60" s="12">
        <f>IF(Z60=0,VLOOKUP(W60,Kontenplan!$Y$9:$AA$551,3),"")</f>
        <v>0</v>
      </c>
      <c r="Z60" s="12">
        <f t="shared" si="21"/>
        <v>0</v>
      </c>
      <c r="AA60" s="12" t="str">
        <f t="shared" ca="1" si="22"/>
        <v/>
      </c>
      <c r="AB60" s="46" t="str">
        <f t="shared" ca="1" si="23"/>
        <v/>
      </c>
      <c r="AC60" s="46" t="str">
        <f t="shared" ca="1" si="24"/>
        <v/>
      </c>
      <c r="AD60" s="47"/>
      <c r="AE60" s="12">
        <f>IF(AF60=0,VLOOKUP(X60,Kontenplan!$Z$9:$AB$551,3),"")</f>
        <v>0</v>
      </c>
      <c r="AF60" s="47">
        <f t="shared" si="25"/>
        <v>0</v>
      </c>
      <c r="AG60" s="12" t="str">
        <f t="shared" ca="1" si="26"/>
        <v/>
      </c>
      <c r="AH60" s="46" t="str">
        <f t="shared" ca="1" si="27"/>
        <v/>
      </c>
      <c r="AI60" s="46" t="str">
        <f t="shared" ca="1" si="28"/>
        <v/>
      </c>
      <c r="AJ60" s="46"/>
      <c r="AK60" s="147">
        <f t="shared" ca="1" si="29"/>
        <v>2.0044000000000093</v>
      </c>
      <c r="AL60" s="147">
        <f t="shared" si="30"/>
        <v>2.0047000000000099</v>
      </c>
      <c r="AM60" s="12" t="str">
        <f>IF(V60&lt;=AO$3,VLOOKUP(V60,Kontenplan!$A$9:$D$278,4),"")</f>
        <v/>
      </c>
      <c r="AN60" s="12">
        <f t="shared" si="31"/>
        <v>0</v>
      </c>
      <c r="AO60" s="12" t="str">
        <f t="shared" ca="1" si="32"/>
        <v/>
      </c>
      <c r="AP60" s="46" t="str">
        <f t="shared" ca="1" si="33"/>
        <v/>
      </c>
      <c r="AQ60" s="46" t="str">
        <f t="shared" ca="1" si="34"/>
        <v/>
      </c>
      <c r="AR60" s="46"/>
      <c r="AS60" s="147">
        <f t="shared" ca="1" si="35"/>
        <v>3.0043000000000091</v>
      </c>
      <c r="AT60" s="147">
        <f t="shared" si="36"/>
        <v>2.0048000000000101</v>
      </c>
      <c r="AU60" s="47" t="str">
        <f>IF(V60&lt;=AW$3,VLOOKUP(AO$3+V60,Kontenplan!$A$9:$D$278,4),"")</f>
        <v/>
      </c>
      <c r="AV60" s="12">
        <f t="shared" si="37"/>
        <v>0</v>
      </c>
      <c r="AW60" s="12" t="str">
        <f t="shared" ca="1" si="38"/>
        <v/>
      </c>
      <c r="AX60" s="46" t="str">
        <f t="shared" ca="1" si="6"/>
        <v/>
      </c>
      <c r="AY60" s="46" t="str">
        <f t="shared" ca="1" si="39"/>
        <v/>
      </c>
      <c r="BA60" s="12">
        <f>Kontenplan!R62</f>
        <v>3</v>
      </c>
      <c r="BB60" s="12">
        <f>Kontenplan!S62</f>
        <v>2</v>
      </c>
      <c r="BC60" s="12">
        <f>Kontenplan!T62</f>
        <v>4</v>
      </c>
      <c r="BD60" s="170">
        <f>Kontenplan!U62</f>
        <v>2</v>
      </c>
      <c r="BF60" s="24">
        <f ca="1">SUM(AP$7:AP60)</f>
        <v>0</v>
      </c>
      <c r="BG60" s="46">
        <f ca="1">SUM(AQ$7:AQ59)</f>
        <v>0</v>
      </c>
      <c r="BH60" s="24">
        <f t="shared" ca="1" si="40"/>
        <v>0</v>
      </c>
      <c r="BI60" s="24"/>
      <c r="BJ60" s="24">
        <f ca="1">SUM(AX$7:AX60)</f>
        <v>0</v>
      </c>
      <c r="BK60" s="24">
        <f ca="1">SUM(AY$7:AY59)</f>
        <v>0</v>
      </c>
      <c r="BL60" s="24">
        <f t="shared" ca="1" si="41"/>
        <v>0</v>
      </c>
      <c r="BN60" s="24">
        <f ca="1">SUM(AB$7:AB60)</f>
        <v>0</v>
      </c>
      <c r="BO60" s="46">
        <f ca="1">SUM(AC$7:AC59)</f>
        <v>0</v>
      </c>
      <c r="BP60" s="24">
        <f t="shared" ca="1" si="42"/>
        <v>0</v>
      </c>
      <c r="BR60" s="24">
        <f ca="1">SUM(AH$7:AH60)</f>
        <v>0</v>
      </c>
      <c r="BS60" s="46">
        <f ca="1">SUM(AI$7:AI59)</f>
        <v>0</v>
      </c>
      <c r="BT60" s="24">
        <f t="shared" ca="1" si="43"/>
        <v>0</v>
      </c>
    </row>
    <row r="61" spans="1:72" s="12" customFormat="1">
      <c r="A61" s="202" t="str">
        <f>Kontenplan!C63</f>
        <v>Ertragskonto</v>
      </c>
      <c r="B61" s="224">
        <f>Kontenplan!E63</f>
        <v>5030</v>
      </c>
      <c r="C61" s="225" t="str">
        <f>Kontenplan!F63</f>
        <v>NK-Akkontozhlg: Partei 3</v>
      </c>
      <c r="D61" s="43">
        <f>IF(B61=0,0,SUMIF(Journal!$F$7:$F$83,Calc!B61,Journal!$I$7:$I$83))</f>
        <v>0</v>
      </c>
      <c r="E61" s="15">
        <f ca="1">IF(B61=0,0,SUMIF(Journal!$G$7:$M135,Calc!B61,Journal!$I$7:$I$83))</f>
        <v>0</v>
      </c>
      <c r="F61" s="44">
        <f t="shared" ca="1" si="7"/>
        <v>0</v>
      </c>
      <c r="G61" s="15">
        <f t="shared" ca="1" si="8"/>
        <v>0</v>
      </c>
      <c r="H61" s="14" t="str">
        <f t="shared" ca="1" si="9"/>
        <v xml:space="preserve"> </v>
      </c>
      <c r="I61" s="43" t="str">
        <f t="shared" ca="1" si="10"/>
        <v xml:space="preserve"> </v>
      </c>
      <c r="J61" s="45" t="str">
        <f t="shared" ca="1" si="11"/>
        <v xml:space="preserve"> </v>
      </c>
      <c r="K61" s="48" t="str">
        <f t="shared" ca="1" si="12"/>
        <v xml:space="preserve"> </v>
      </c>
      <c r="L61" s="45" t="str">
        <f t="shared" ca="1" si="13"/>
        <v xml:space="preserve"> </v>
      </c>
      <c r="M61" s="48" t="str">
        <f t="shared" ca="1" si="14"/>
        <v xml:space="preserve"> </v>
      </c>
      <c r="N61" s="24"/>
      <c r="O61" s="12">
        <f t="shared" si="15"/>
        <v>10.008999999999979</v>
      </c>
      <c r="P61" s="12">
        <f t="shared" si="16"/>
        <v>9.0071999999999832</v>
      </c>
      <c r="Q61" s="12">
        <f t="shared" si="17"/>
        <v>31.000999999999998</v>
      </c>
      <c r="R61" s="12">
        <f t="shared" si="18"/>
        <v>5</v>
      </c>
      <c r="S61" s="12">
        <f t="shared" si="19"/>
        <v>5030</v>
      </c>
      <c r="T61" s="12" t="str">
        <f t="shared" si="20"/>
        <v>NK-Akkontozhlg: Partei 3</v>
      </c>
      <c r="U61" s="43">
        <f ca="1">IF(OR(A61=Kontenplan!$C$3,A61=Kontenplan!$C$5),F61-G61,G61-F61)</f>
        <v>0</v>
      </c>
      <c r="V61" s="171">
        <f t="shared" si="3"/>
        <v>55</v>
      </c>
      <c r="W61" s="12">
        <f t="shared" si="4"/>
        <v>28</v>
      </c>
      <c r="X61" s="12">
        <f t="shared" si="5"/>
        <v>30</v>
      </c>
      <c r="Y61" s="12">
        <f>IF(Z61=0,VLOOKUP(W61,Kontenplan!$Y$9:$AA$551,3),"")</f>
        <v>0</v>
      </c>
      <c r="Z61" s="12">
        <f t="shared" si="21"/>
        <v>0</v>
      </c>
      <c r="AA61" s="12" t="str">
        <f t="shared" ca="1" si="22"/>
        <v/>
      </c>
      <c r="AB61" s="46" t="str">
        <f t="shared" ca="1" si="23"/>
        <v/>
      </c>
      <c r="AC61" s="46" t="str">
        <f t="shared" ca="1" si="24"/>
        <v/>
      </c>
      <c r="AD61" s="47"/>
      <c r="AE61" s="12">
        <f>IF(AF61=0,VLOOKUP(X61,Kontenplan!$Z$9:$AB$551,3),"")</f>
        <v>0</v>
      </c>
      <c r="AF61" s="47">
        <f t="shared" si="25"/>
        <v>0</v>
      </c>
      <c r="AG61" s="12" t="str">
        <f t="shared" ca="1" si="26"/>
        <v/>
      </c>
      <c r="AH61" s="46" t="str">
        <f t="shared" ca="1" si="27"/>
        <v/>
      </c>
      <c r="AI61" s="46" t="str">
        <f t="shared" ca="1" si="28"/>
        <v/>
      </c>
      <c r="AJ61" s="46"/>
      <c r="AK61" s="147">
        <f t="shared" ca="1" si="29"/>
        <v>2.0045000000000095</v>
      </c>
      <c r="AL61" s="147">
        <f t="shared" si="30"/>
        <v>2.0048000000000101</v>
      </c>
      <c r="AM61" s="12" t="str">
        <f>IF(V61&lt;=AO$3,VLOOKUP(V61,Kontenplan!$A$9:$D$278,4),"")</f>
        <v/>
      </c>
      <c r="AN61" s="12">
        <f t="shared" si="31"/>
        <v>0</v>
      </c>
      <c r="AO61" s="12" t="str">
        <f t="shared" ca="1" si="32"/>
        <v/>
      </c>
      <c r="AP61" s="46" t="str">
        <f t="shared" ca="1" si="33"/>
        <v/>
      </c>
      <c r="AQ61" s="46" t="str">
        <f t="shared" ca="1" si="34"/>
        <v/>
      </c>
      <c r="AR61" s="46"/>
      <c r="AS61" s="147">
        <f t="shared" ca="1" si="35"/>
        <v>3.0044000000000093</v>
      </c>
      <c r="AT61" s="147">
        <f t="shared" si="36"/>
        <v>2.0049000000000103</v>
      </c>
      <c r="AU61" s="47" t="str">
        <f>IF(V61&lt;=AW$3,VLOOKUP(AO$3+V61,Kontenplan!$A$9:$D$278,4),"")</f>
        <v/>
      </c>
      <c r="AV61" s="12">
        <f t="shared" si="37"/>
        <v>0</v>
      </c>
      <c r="AW61" s="12" t="str">
        <f t="shared" ca="1" si="38"/>
        <v/>
      </c>
      <c r="AX61" s="46" t="str">
        <f t="shared" ca="1" si="6"/>
        <v/>
      </c>
      <c r="AY61" s="46" t="str">
        <f t="shared" ca="1" si="39"/>
        <v/>
      </c>
      <c r="BA61" s="12">
        <f>Kontenplan!R63</f>
        <v>3</v>
      </c>
      <c r="BB61" s="12">
        <f>Kontenplan!S63</f>
        <v>2</v>
      </c>
      <c r="BC61" s="12">
        <f>Kontenplan!T63</f>
        <v>4</v>
      </c>
      <c r="BD61" s="170">
        <f>Kontenplan!U63</f>
        <v>2</v>
      </c>
      <c r="BF61" s="24">
        <f ca="1">SUM(AP$7:AP61)</f>
        <v>0</v>
      </c>
      <c r="BG61" s="46">
        <f ca="1">SUM(AQ$7:AQ60)</f>
        <v>0</v>
      </c>
      <c r="BH61" s="24">
        <f t="shared" ca="1" si="40"/>
        <v>0</v>
      </c>
      <c r="BI61" s="24"/>
      <c r="BJ61" s="24">
        <f ca="1">SUM(AX$7:AX61)</f>
        <v>0</v>
      </c>
      <c r="BK61" s="24">
        <f ca="1">SUM(AY$7:AY60)</f>
        <v>0</v>
      </c>
      <c r="BL61" s="24">
        <f t="shared" ca="1" si="41"/>
        <v>0</v>
      </c>
      <c r="BN61" s="24">
        <f ca="1">SUM(AB$7:AB61)</f>
        <v>0</v>
      </c>
      <c r="BO61" s="46">
        <f ca="1">SUM(AC$7:AC60)</f>
        <v>0</v>
      </c>
      <c r="BP61" s="24">
        <f t="shared" ca="1" si="42"/>
        <v>0</v>
      </c>
      <c r="BR61" s="24">
        <f ca="1">SUM(AH$7:AH61)</f>
        <v>0</v>
      </c>
      <c r="BS61" s="46">
        <f ca="1">SUM(AI$7:AI60)</f>
        <v>0</v>
      </c>
      <c r="BT61" s="24">
        <f t="shared" ca="1" si="43"/>
        <v>0</v>
      </c>
    </row>
    <row r="62" spans="1:72" s="12" customFormat="1">
      <c r="A62" s="202" t="str">
        <f>Kontenplan!C64</f>
        <v>Ertragskonto</v>
      </c>
      <c r="B62" s="224">
        <f>Kontenplan!E64</f>
        <v>5040</v>
      </c>
      <c r="C62" s="225" t="str">
        <f>Kontenplan!F64</f>
        <v>NK-Akkontozhlg: Partei 4</v>
      </c>
      <c r="D62" s="43">
        <f>IF(B62=0,0,SUMIF(Journal!$F$7:$F$83,Calc!B62,Journal!$I$7:$I$83))</f>
        <v>0</v>
      </c>
      <c r="E62" s="15">
        <f ca="1">IF(B62=0,0,SUMIF(Journal!$G$7:$M136,Calc!B62,Journal!$I$7:$I$83))</f>
        <v>0</v>
      </c>
      <c r="F62" s="44">
        <f t="shared" ca="1" si="7"/>
        <v>0</v>
      </c>
      <c r="G62" s="15">
        <f t="shared" ca="1" si="8"/>
        <v>0</v>
      </c>
      <c r="H62" s="14" t="str">
        <f t="shared" ca="1" si="9"/>
        <v xml:space="preserve"> </v>
      </c>
      <c r="I62" s="43" t="str">
        <f t="shared" ca="1" si="10"/>
        <v xml:space="preserve"> </v>
      </c>
      <c r="J62" s="45" t="str">
        <f t="shared" ca="1" si="11"/>
        <v xml:space="preserve"> </v>
      </c>
      <c r="K62" s="48" t="str">
        <f t="shared" ca="1" si="12"/>
        <v xml:space="preserve"> </v>
      </c>
      <c r="L62" s="45" t="str">
        <f t="shared" ca="1" si="13"/>
        <v xml:space="preserve"> </v>
      </c>
      <c r="M62" s="48" t="str">
        <f t="shared" ca="1" si="14"/>
        <v xml:space="preserve"> </v>
      </c>
      <c r="N62" s="24"/>
      <c r="O62" s="12">
        <f t="shared" si="15"/>
        <v>10.009199999999979</v>
      </c>
      <c r="P62" s="12">
        <f t="shared" si="16"/>
        <v>9.0073999999999828</v>
      </c>
      <c r="Q62" s="12">
        <f t="shared" si="17"/>
        <v>31.001199999999997</v>
      </c>
      <c r="R62" s="12">
        <f t="shared" si="18"/>
        <v>6</v>
      </c>
      <c r="S62" s="12">
        <f t="shared" si="19"/>
        <v>5040</v>
      </c>
      <c r="T62" s="12" t="str">
        <f t="shared" si="20"/>
        <v>NK-Akkontozhlg: Partei 4</v>
      </c>
      <c r="U62" s="43">
        <f ca="1">IF(OR(A62=Kontenplan!$C$3,A62=Kontenplan!$C$5),F62-G62,G62-F62)</f>
        <v>0</v>
      </c>
      <c r="V62" s="171">
        <f t="shared" si="3"/>
        <v>56</v>
      </c>
      <c r="W62" s="12">
        <f t="shared" si="4"/>
        <v>29</v>
      </c>
      <c r="X62" s="12">
        <f t="shared" si="5"/>
        <v>31</v>
      </c>
      <c r="Y62" s="12">
        <f>IF(Z62=0,VLOOKUP(W62,Kontenplan!$Y$9:$AA$551,3),"")</f>
        <v>0</v>
      </c>
      <c r="Z62" s="12">
        <f t="shared" si="21"/>
        <v>0</v>
      </c>
      <c r="AA62" s="12" t="str">
        <f t="shared" ca="1" si="22"/>
        <v/>
      </c>
      <c r="AB62" s="46" t="str">
        <f t="shared" ca="1" si="23"/>
        <v/>
      </c>
      <c r="AC62" s="46" t="str">
        <f t="shared" ca="1" si="24"/>
        <v/>
      </c>
      <c r="AD62" s="47"/>
      <c r="AE62" s="12">
        <f>IF(AF62=0,VLOOKUP(X62,Kontenplan!$Z$9:$AB$551,3),"")</f>
        <v>0</v>
      </c>
      <c r="AF62" s="47">
        <f t="shared" si="25"/>
        <v>0</v>
      </c>
      <c r="AG62" s="12" t="str">
        <f t="shared" ca="1" si="26"/>
        <v/>
      </c>
      <c r="AH62" s="46" t="str">
        <f t="shared" ca="1" si="27"/>
        <v/>
      </c>
      <c r="AI62" s="46" t="str">
        <f t="shared" ca="1" si="28"/>
        <v/>
      </c>
      <c r="AJ62" s="46"/>
      <c r="AK62" s="147">
        <f t="shared" ca="1" si="29"/>
        <v>2.0046000000000097</v>
      </c>
      <c r="AL62" s="147">
        <f t="shared" si="30"/>
        <v>2.0049000000000103</v>
      </c>
      <c r="AM62" s="12" t="str">
        <f>IF(V62&lt;=AO$3,VLOOKUP(V62,Kontenplan!$A$9:$D$278,4),"")</f>
        <v/>
      </c>
      <c r="AN62" s="12">
        <f t="shared" si="31"/>
        <v>0</v>
      </c>
      <c r="AO62" s="12" t="str">
        <f t="shared" ca="1" si="32"/>
        <v/>
      </c>
      <c r="AP62" s="46" t="str">
        <f t="shared" ca="1" si="33"/>
        <v/>
      </c>
      <c r="AQ62" s="46" t="str">
        <f t="shared" ca="1" si="34"/>
        <v/>
      </c>
      <c r="AR62" s="46"/>
      <c r="AS62" s="147">
        <f t="shared" ca="1" si="35"/>
        <v>3.0045000000000095</v>
      </c>
      <c r="AT62" s="147">
        <f t="shared" si="36"/>
        <v>2.0050000000000106</v>
      </c>
      <c r="AU62" s="47" t="str">
        <f>IF(V62&lt;=AW$3,VLOOKUP(AO$3+V62,Kontenplan!$A$9:$D$278,4),"")</f>
        <v/>
      </c>
      <c r="AV62" s="12">
        <f t="shared" si="37"/>
        <v>0</v>
      </c>
      <c r="AW62" s="12" t="str">
        <f t="shared" ca="1" si="38"/>
        <v/>
      </c>
      <c r="AX62" s="46" t="str">
        <f t="shared" ca="1" si="6"/>
        <v/>
      </c>
      <c r="AY62" s="46" t="str">
        <f t="shared" ca="1" si="39"/>
        <v/>
      </c>
      <c r="BA62" s="12">
        <f>Kontenplan!R64</f>
        <v>3</v>
      </c>
      <c r="BB62" s="12">
        <f>Kontenplan!S64</f>
        <v>2</v>
      </c>
      <c r="BC62" s="12">
        <f>Kontenplan!T64</f>
        <v>4</v>
      </c>
      <c r="BD62" s="170">
        <f>Kontenplan!U64</f>
        <v>2</v>
      </c>
      <c r="BF62" s="24">
        <f ca="1">SUM(AP$7:AP62)</f>
        <v>0</v>
      </c>
      <c r="BG62" s="46">
        <f ca="1">SUM(AQ$7:AQ61)</f>
        <v>0</v>
      </c>
      <c r="BH62" s="24">
        <f t="shared" ca="1" si="40"/>
        <v>0</v>
      </c>
      <c r="BI62" s="24"/>
      <c r="BJ62" s="24">
        <f ca="1">SUM(AX$7:AX62)</f>
        <v>0</v>
      </c>
      <c r="BK62" s="24">
        <f ca="1">SUM(AY$7:AY61)</f>
        <v>0</v>
      </c>
      <c r="BL62" s="24">
        <f t="shared" ca="1" si="41"/>
        <v>0</v>
      </c>
      <c r="BN62" s="24">
        <f ca="1">SUM(AB$7:AB62)</f>
        <v>0</v>
      </c>
      <c r="BO62" s="46">
        <f ca="1">SUM(AC$7:AC61)</f>
        <v>0</v>
      </c>
      <c r="BP62" s="24">
        <f t="shared" ca="1" si="42"/>
        <v>0</v>
      </c>
      <c r="BR62" s="24">
        <f ca="1">SUM(AH$7:AH62)</f>
        <v>0</v>
      </c>
      <c r="BS62" s="46">
        <f ca="1">SUM(AI$7:AI61)</f>
        <v>0</v>
      </c>
      <c r="BT62" s="24">
        <f t="shared" ca="1" si="43"/>
        <v>0</v>
      </c>
    </row>
    <row r="63" spans="1:72" s="12" customFormat="1">
      <c r="A63" s="202" t="str">
        <f>Kontenplan!C65</f>
        <v>Ertragskonto</v>
      </c>
      <c r="B63" s="224">
        <f>Kontenplan!E65</f>
        <v>5050</v>
      </c>
      <c r="C63" s="225" t="str">
        <f>Kontenplan!F65</f>
        <v>NK-Akkontozhlg: Partei 5</v>
      </c>
      <c r="D63" s="43">
        <f>IF(B63=0,0,SUMIF(Journal!$F$7:$F$83,Calc!B63,Journal!$I$7:$I$83))</f>
        <v>0</v>
      </c>
      <c r="E63" s="15">
        <f ca="1">IF(B63=0,0,SUMIF(Journal!$G$7:$M137,Calc!B63,Journal!$I$7:$I$83))</f>
        <v>0</v>
      </c>
      <c r="F63" s="44">
        <f t="shared" ca="1" si="7"/>
        <v>0</v>
      </c>
      <c r="G63" s="15">
        <f t="shared" ca="1" si="8"/>
        <v>0</v>
      </c>
      <c r="H63" s="14" t="str">
        <f t="shared" ca="1" si="9"/>
        <v xml:space="preserve"> </v>
      </c>
      <c r="I63" s="43" t="str">
        <f t="shared" ca="1" si="10"/>
        <v xml:space="preserve"> </v>
      </c>
      <c r="J63" s="45" t="str">
        <f t="shared" ca="1" si="11"/>
        <v xml:space="preserve"> </v>
      </c>
      <c r="K63" s="48" t="str">
        <f t="shared" ca="1" si="12"/>
        <v xml:space="preserve"> </v>
      </c>
      <c r="L63" s="45" t="str">
        <f t="shared" ca="1" si="13"/>
        <v xml:space="preserve"> </v>
      </c>
      <c r="M63" s="48" t="str">
        <f t="shared" ca="1" si="14"/>
        <v xml:space="preserve"> </v>
      </c>
      <c r="N63" s="24"/>
      <c r="O63" s="12">
        <f t="shared" si="15"/>
        <v>10.009399999999978</v>
      </c>
      <c r="P63" s="12">
        <f t="shared" si="16"/>
        <v>9.0075999999999823</v>
      </c>
      <c r="Q63" s="12">
        <f t="shared" si="17"/>
        <v>31.001399999999997</v>
      </c>
      <c r="R63" s="12">
        <f t="shared" si="18"/>
        <v>7</v>
      </c>
      <c r="S63" s="12">
        <f t="shared" si="19"/>
        <v>5050</v>
      </c>
      <c r="T63" s="12" t="str">
        <f t="shared" si="20"/>
        <v>NK-Akkontozhlg: Partei 5</v>
      </c>
      <c r="U63" s="43">
        <f ca="1">IF(OR(A63=Kontenplan!$C$3,A63=Kontenplan!$C$5),F63-G63,G63-F63)</f>
        <v>0</v>
      </c>
      <c r="V63" s="171">
        <f t="shared" si="3"/>
        <v>57</v>
      </c>
      <c r="W63" s="12">
        <f t="shared" si="4"/>
        <v>30</v>
      </c>
      <c r="X63" s="12">
        <f t="shared" si="5"/>
        <v>32</v>
      </c>
      <c r="Y63" s="12">
        <f>IF(Z63=0,VLOOKUP(W63,Kontenplan!$Y$9:$AA$551,3),"")</f>
        <v>0</v>
      </c>
      <c r="Z63" s="12">
        <f t="shared" si="21"/>
        <v>0</v>
      </c>
      <c r="AA63" s="12" t="str">
        <f t="shared" ca="1" si="22"/>
        <v/>
      </c>
      <c r="AB63" s="46" t="str">
        <f t="shared" ca="1" si="23"/>
        <v/>
      </c>
      <c r="AC63" s="46" t="str">
        <f t="shared" ca="1" si="24"/>
        <v/>
      </c>
      <c r="AD63" s="47"/>
      <c r="AE63" s="12">
        <f>IF(AF63=0,VLOOKUP(X63,Kontenplan!$Z$9:$AB$551,3),"")</f>
        <v>0</v>
      </c>
      <c r="AF63" s="47">
        <f t="shared" si="25"/>
        <v>0</v>
      </c>
      <c r="AG63" s="12" t="str">
        <f t="shared" ca="1" si="26"/>
        <v/>
      </c>
      <c r="AH63" s="46" t="str">
        <f t="shared" ca="1" si="27"/>
        <v/>
      </c>
      <c r="AI63" s="46" t="str">
        <f t="shared" ca="1" si="28"/>
        <v/>
      </c>
      <c r="AJ63" s="46"/>
      <c r="AK63" s="147">
        <f t="shared" ca="1" si="29"/>
        <v>2.0047000000000099</v>
      </c>
      <c r="AL63" s="147">
        <f t="shared" si="30"/>
        <v>2.0050000000000106</v>
      </c>
      <c r="AM63" s="12" t="str">
        <f>IF(V63&lt;=AO$3,VLOOKUP(V63,Kontenplan!$A$9:$D$278,4),"")</f>
        <v/>
      </c>
      <c r="AN63" s="12">
        <f t="shared" si="31"/>
        <v>0</v>
      </c>
      <c r="AO63" s="12" t="str">
        <f t="shared" ca="1" si="32"/>
        <v/>
      </c>
      <c r="AP63" s="46" t="str">
        <f t="shared" ca="1" si="33"/>
        <v/>
      </c>
      <c r="AQ63" s="46" t="str">
        <f t="shared" ca="1" si="34"/>
        <v/>
      </c>
      <c r="AR63" s="46"/>
      <c r="AS63" s="147">
        <f t="shared" ca="1" si="35"/>
        <v>3.0046000000000097</v>
      </c>
      <c r="AT63" s="147">
        <f t="shared" si="36"/>
        <v>2.0051000000000108</v>
      </c>
      <c r="AU63" s="47" t="str">
        <f>IF(V63&lt;=AW$3,VLOOKUP(AO$3+V63,Kontenplan!$A$9:$D$278,4),"")</f>
        <v/>
      </c>
      <c r="AV63" s="12">
        <f t="shared" si="37"/>
        <v>0</v>
      </c>
      <c r="AW63" s="12" t="str">
        <f t="shared" ca="1" si="38"/>
        <v/>
      </c>
      <c r="AX63" s="46" t="str">
        <f t="shared" ca="1" si="6"/>
        <v/>
      </c>
      <c r="AY63" s="46" t="str">
        <f t="shared" ca="1" si="39"/>
        <v/>
      </c>
      <c r="BA63" s="12">
        <f>Kontenplan!R65</f>
        <v>3</v>
      </c>
      <c r="BB63" s="12">
        <f>Kontenplan!S65</f>
        <v>2</v>
      </c>
      <c r="BC63" s="12">
        <f>Kontenplan!T65</f>
        <v>4</v>
      </c>
      <c r="BD63" s="170">
        <f>Kontenplan!U65</f>
        <v>2</v>
      </c>
      <c r="BF63" s="24">
        <f ca="1">SUM(AP$7:AP63)</f>
        <v>0</v>
      </c>
      <c r="BG63" s="46">
        <f ca="1">SUM(AQ$7:AQ62)</f>
        <v>0</v>
      </c>
      <c r="BH63" s="24">
        <f t="shared" ca="1" si="40"/>
        <v>0</v>
      </c>
      <c r="BI63" s="24"/>
      <c r="BJ63" s="24">
        <f ca="1">SUM(AX$7:AX63)</f>
        <v>0</v>
      </c>
      <c r="BK63" s="24">
        <f ca="1">SUM(AY$7:AY62)</f>
        <v>0</v>
      </c>
      <c r="BL63" s="24">
        <f t="shared" ca="1" si="41"/>
        <v>0</v>
      </c>
      <c r="BN63" s="24">
        <f ca="1">SUM(AB$7:AB63)</f>
        <v>0</v>
      </c>
      <c r="BO63" s="46">
        <f ca="1">SUM(AC$7:AC62)</f>
        <v>0</v>
      </c>
      <c r="BP63" s="24">
        <f t="shared" ca="1" si="42"/>
        <v>0</v>
      </c>
      <c r="BR63" s="24">
        <f ca="1">SUM(AH$7:AH63)</f>
        <v>0</v>
      </c>
      <c r="BS63" s="46">
        <f ca="1">SUM(AI$7:AI62)</f>
        <v>0</v>
      </c>
      <c r="BT63" s="24">
        <f t="shared" ca="1" si="43"/>
        <v>0</v>
      </c>
    </row>
    <row r="64" spans="1:72" s="12" customFormat="1">
      <c r="A64" s="202" t="str">
        <f>Kontenplan!C66</f>
        <v>Ertragskonto</v>
      </c>
      <c r="B64" s="224">
        <f>Kontenplan!E66</f>
        <v>5060</v>
      </c>
      <c r="C64" s="225" t="str">
        <f>Kontenplan!F66</f>
        <v>NK-Akkontozhlg: Partei 6</v>
      </c>
      <c r="D64" s="43">
        <f>IF(B64=0,0,SUMIF(Journal!$F$7:$F$83,Calc!B64,Journal!$I$7:$I$83))</f>
        <v>0</v>
      </c>
      <c r="E64" s="15">
        <f ca="1">IF(B64=0,0,SUMIF(Journal!$G$7:$M138,Calc!B64,Journal!$I$7:$I$83))</f>
        <v>0</v>
      </c>
      <c r="F64" s="44">
        <f t="shared" ca="1" si="7"/>
        <v>0</v>
      </c>
      <c r="G64" s="15">
        <f t="shared" ca="1" si="8"/>
        <v>0</v>
      </c>
      <c r="H64" s="14" t="str">
        <f t="shared" ca="1" si="9"/>
        <v xml:space="preserve"> </v>
      </c>
      <c r="I64" s="43" t="str">
        <f t="shared" ca="1" si="10"/>
        <v xml:space="preserve"> </v>
      </c>
      <c r="J64" s="45" t="str">
        <f t="shared" ca="1" si="11"/>
        <v xml:space="preserve"> </v>
      </c>
      <c r="K64" s="48" t="str">
        <f t="shared" ca="1" si="12"/>
        <v xml:space="preserve"> </v>
      </c>
      <c r="L64" s="45" t="str">
        <f t="shared" ca="1" si="13"/>
        <v xml:space="preserve"> </v>
      </c>
      <c r="M64" s="48" t="str">
        <f t="shared" ca="1" si="14"/>
        <v xml:space="preserve"> </v>
      </c>
      <c r="N64" s="24"/>
      <c r="O64" s="12">
        <f t="shared" si="15"/>
        <v>10.009599999999978</v>
      </c>
      <c r="P64" s="12">
        <f t="shared" si="16"/>
        <v>9.0077999999999818</v>
      </c>
      <c r="Q64" s="12">
        <f t="shared" si="17"/>
        <v>31.001599999999996</v>
      </c>
      <c r="R64" s="12">
        <f t="shared" si="18"/>
        <v>8</v>
      </c>
      <c r="S64" s="12">
        <f t="shared" si="19"/>
        <v>5060</v>
      </c>
      <c r="T64" s="12" t="str">
        <f t="shared" si="20"/>
        <v>NK-Akkontozhlg: Partei 6</v>
      </c>
      <c r="U64" s="43">
        <f ca="1">IF(OR(A64=Kontenplan!$C$3,A64=Kontenplan!$C$5),F64-G64,G64-F64)</f>
        <v>0</v>
      </c>
      <c r="V64" s="171">
        <f t="shared" si="3"/>
        <v>58</v>
      </c>
      <c r="W64" s="12">
        <f t="shared" si="4"/>
        <v>31</v>
      </c>
      <c r="X64" s="12">
        <f t="shared" si="5"/>
        <v>33</v>
      </c>
      <c r="Y64" s="12">
        <f>IF(Z64=0,VLOOKUP(W64,Kontenplan!$Y$9:$AA$551,3),"")</f>
        <v>0</v>
      </c>
      <c r="Z64" s="12">
        <f t="shared" si="21"/>
        <v>0</v>
      </c>
      <c r="AA64" s="12" t="str">
        <f t="shared" ca="1" si="22"/>
        <v/>
      </c>
      <c r="AB64" s="46" t="str">
        <f t="shared" ca="1" si="23"/>
        <v/>
      </c>
      <c r="AC64" s="46" t="str">
        <f t="shared" ca="1" si="24"/>
        <v/>
      </c>
      <c r="AD64" s="47"/>
      <c r="AE64" s="12">
        <f>IF(AF64=0,VLOOKUP(X64,Kontenplan!$Z$9:$AB$551,3),"")</f>
        <v>0</v>
      </c>
      <c r="AF64" s="47">
        <f t="shared" si="25"/>
        <v>0</v>
      </c>
      <c r="AG64" s="12" t="str">
        <f t="shared" ca="1" si="26"/>
        <v/>
      </c>
      <c r="AH64" s="46" t="str">
        <f t="shared" ca="1" si="27"/>
        <v/>
      </c>
      <c r="AI64" s="46" t="str">
        <f t="shared" ca="1" si="28"/>
        <v/>
      </c>
      <c r="AJ64" s="46"/>
      <c r="AK64" s="147">
        <f t="shared" ca="1" si="29"/>
        <v>2.0048000000000101</v>
      </c>
      <c r="AL64" s="147">
        <f t="shared" si="30"/>
        <v>2.0051000000000108</v>
      </c>
      <c r="AM64" s="12" t="str">
        <f>IF(V64&lt;=AO$3,VLOOKUP(V64,Kontenplan!$A$9:$D$278,4),"")</f>
        <v/>
      </c>
      <c r="AN64" s="12">
        <f t="shared" si="31"/>
        <v>0</v>
      </c>
      <c r="AO64" s="12" t="str">
        <f t="shared" ca="1" si="32"/>
        <v/>
      </c>
      <c r="AP64" s="46" t="str">
        <f t="shared" ca="1" si="33"/>
        <v/>
      </c>
      <c r="AQ64" s="46" t="str">
        <f t="shared" ca="1" si="34"/>
        <v/>
      </c>
      <c r="AR64" s="46"/>
      <c r="AS64" s="147">
        <f t="shared" ca="1" si="35"/>
        <v>3.0047000000000099</v>
      </c>
      <c r="AT64" s="147">
        <f t="shared" si="36"/>
        <v>2.005200000000011</v>
      </c>
      <c r="AU64" s="47" t="str">
        <f>IF(V64&lt;=AW$3,VLOOKUP(AO$3+V64,Kontenplan!$A$9:$D$278,4),"")</f>
        <v/>
      </c>
      <c r="AV64" s="12">
        <f t="shared" si="37"/>
        <v>0</v>
      </c>
      <c r="AW64" s="12" t="str">
        <f t="shared" ca="1" si="38"/>
        <v/>
      </c>
      <c r="AX64" s="46" t="str">
        <f t="shared" ca="1" si="6"/>
        <v/>
      </c>
      <c r="AY64" s="46" t="str">
        <f t="shared" ca="1" si="39"/>
        <v/>
      </c>
      <c r="BA64" s="12">
        <f>Kontenplan!R66</f>
        <v>3</v>
      </c>
      <c r="BB64" s="12">
        <f>Kontenplan!S66</f>
        <v>2</v>
      </c>
      <c r="BC64" s="12">
        <f>Kontenplan!T66</f>
        <v>4</v>
      </c>
      <c r="BD64" s="170">
        <f>Kontenplan!U66</f>
        <v>2</v>
      </c>
      <c r="BF64" s="24">
        <f ca="1">SUM(AP$7:AP64)</f>
        <v>0</v>
      </c>
      <c r="BG64" s="46">
        <f ca="1">SUM(AQ$7:AQ63)</f>
        <v>0</v>
      </c>
      <c r="BH64" s="24">
        <f t="shared" ca="1" si="40"/>
        <v>0</v>
      </c>
      <c r="BI64" s="24"/>
      <c r="BJ64" s="24">
        <f ca="1">SUM(AX$7:AX64)</f>
        <v>0</v>
      </c>
      <c r="BK64" s="24">
        <f ca="1">SUM(AY$7:AY63)</f>
        <v>0</v>
      </c>
      <c r="BL64" s="24">
        <f t="shared" ca="1" si="41"/>
        <v>0</v>
      </c>
      <c r="BN64" s="24">
        <f ca="1">SUM(AB$7:AB64)</f>
        <v>0</v>
      </c>
      <c r="BO64" s="46">
        <f ca="1">SUM(AC$7:AC63)</f>
        <v>0</v>
      </c>
      <c r="BP64" s="24">
        <f t="shared" ca="1" si="42"/>
        <v>0</v>
      </c>
      <c r="BR64" s="24">
        <f ca="1">SUM(AH$7:AH64)</f>
        <v>0</v>
      </c>
      <c r="BS64" s="46">
        <f ca="1">SUM(AI$7:AI63)</f>
        <v>0</v>
      </c>
      <c r="BT64" s="24">
        <f t="shared" ca="1" si="43"/>
        <v>0</v>
      </c>
    </row>
    <row r="65" spans="1:72" s="12" customFormat="1">
      <c r="A65" s="202" t="str">
        <f>Kontenplan!C67</f>
        <v>Ertragskonto</v>
      </c>
      <c r="B65" s="224">
        <f>Kontenplan!E67</f>
        <v>5070</v>
      </c>
      <c r="C65" s="225" t="str">
        <f>Kontenplan!F67</f>
        <v>NK-Akkontozhlg: Partei 7</v>
      </c>
      <c r="D65" s="43">
        <f>IF(B65=0,0,SUMIF(Journal!$F$7:$F$83,Calc!B65,Journal!$I$7:$I$83))</f>
        <v>0</v>
      </c>
      <c r="E65" s="15">
        <f ca="1">IF(B65=0,0,SUMIF(Journal!$G$7:$M139,Calc!B65,Journal!$I$7:$I$83))</f>
        <v>0</v>
      </c>
      <c r="F65" s="44">
        <f t="shared" ca="1" si="7"/>
        <v>0</v>
      </c>
      <c r="G65" s="15">
        <f t="shared" ca="1" si="8"/>
        <v>0</v>
      </c>
      <c r="H65" s="14" t="str">
        <f t="shared" ca="1" si="9"/>
        <v xml:space="preserve"> </v>
      </c>
      <c r="I65" s="43" t="str">
        <f t="shared" ca="1" si="10"/>
        <v xml:space="preserve"> </v>
      </c>
      <c r="J65" s="45" t="str">
        <f t="shared" ca="1" si="11"/>
        <v xml:space="preserve"> </v>
      </c>
      <c r="K65" s="48" t="str">
        <f t="shared" ca="1" si="12"/>
        <v xml:space="preserve"> </v>
      </c>
      <c r="L65" s="45" t="str">
        <f t="shared" ca="1" si="13"/>
        <v xml:space="preserve"> </v>
      </c>
      <c r="M65" s="48" t="str">
        <f t="shared" ca="1" si="14"/>
        <v xml:space="preserve"> </v>
      </c>
      <c r="N65" s="24"/>
      <c r="O65" s="12">
        <f t="shared" si="15"/>
        <v>10.009799999999977</v>
      </c>
      <c r="P65" s="12">
        <f t="shared" si="16"/>
        <v>9.0079999999999814</v>
      </c>
      <c r="Q65" s="12">
        <f t="shared" si="17"/>
        <v>31.001799999999996</v>
      </c>
      <c r="R65" s="12">
        <f t="shared" si="18"/>
        <v>9</v>
      </c>
      <c r="S65" s="12">
        <f t="shared" si="19"/>
        <v>5070</v>
      </c>
      <c r="T65" s="12" t="str">
        <f t="shared" si="20"/>
        <v>NK-Akkontozhlg: Partei 7</v>
      </c>
      <c r="U65" s="43">
        <f ca="1">IF(OR(A65=Kontenplan!$C$3,A65=Kontenplan!$C$5),F65-G65,G65-F65)</f>
        <v>0</v>
      </c>
      <c r="V65" s="171">
        <f t="shared" si="3"/>
        <v>59</v>
      </c>
      <c r="W65" s="12">
        <f t="shared" si="4"/>
        <v>32</v>
      </c>
      <c r="X65" s="12">
        <f t="shared" si="5"/>
        <v>34</v>
      </c>
      <c r="Y65" s="12">
        <f>IF(Z65=0,VLOOKUP(W65,Kontenplan!$Y$9:$AA$551,3),"")</f>
        <v>0</v>
      </c>
      <c r="Z65" s="12">
        <f t="shared" si="21"/>
        <v>0</v>
      </c>
      <c r="AA65" s="12" t="str">
        <f t="shared" ca="1" si="22"/>
        <v/>
      </c>
      <c r="AB65" s="46" t="str">
        <f t="shared" ca="1" si="23"/>
        <v/>
      </c>
      <c r="AC65" s="46" t="str">
        <f t="shared" ca="1" si="24"/>
        <v/>
      </c>
      <c r="AD65" s="47"/>
      <c r="AE65" s="12">
        <f>IF(AF65=0,VLOOKUP(X65,Kontenplan!$Z$9:$AB$551,3),"")</f>
        <v>0</v>
      </c>
      <c r="AF65" s="47">
        <f t="shared" si="25"/>
        <v>0</v>
      </c>
      <c r="AG65" s="12" t="str">
        <f t="shared" ca="1" si="26"/>
        <v/>
      </c>
      <c r="AH65" s="46" t="str">
        <f t="shared" ca="1" si="27"/>
        <v/>
      </c>
      <c r="AI65" s="46" t="str">
        <f t="shared" ca="1" si="28"/>
        <v/>
      </c>
      <c r="AJ65" s="46"/>
      <c r="AK65" s="147">
        <f t="shared" ca="1" si="29"/>
        <v>2.0049000000000103</v>
      </c>
      <c r="AL65" s="147">
        <f t="shared" si="30"/>
        <v>2.005200000000011</v>
      </c>
      <c r="AM65" s="12" t="str">
        <f>IF(V65&lt;=AO$3,VLOOKUP(V65,Kontenplan!$A$9:$D$278,4),"")</f>
        <v/>
      </c>
      <c r="AN65" s="12">
        <f t="shared" si="31"/>
        <v>0</v>
      </c>
      <c r="AO65" s="12" t="str">
        <f t="shared" ca="1" si="32"/>
        <v/>
      </c>
      <c r="AP65" s="46" t="str">
        <f t="shared" ca="1" si="33"/>
        <v/>
      </c>
      <c r="AQ65" s="46" t="str">
        <f t="shared" ca="1" si="34"/>
        <v/>
      </c>
      <c r="AR65" s="46"/>
      <c r="AS65" s="147">
        <f t="shared" ca="1" si="35"/>
        <v>3.0048000000000101</v>
      </c>
      <c r="AT65" s="147">
        <f t="shared" si="36"/>
        <v>2.0053000000000112</v>
      </c>
      <c r="AU65" s="47" t="str">
        <f>IF(V65&lt;=AW$3,VLOOKUP(AO$3+V65,Kontenplan!$A$9:$D$278,4),"")</f>
        <v/>
      </c>
      <c r="AV65" s="12">
        <f t="shared" si="37"/>
        <v>0</v>
      </c>
      <c r="AW65" s="12" t="str">
        <f t="shared" ca="1" si="38"/>
        <v/>
      </c>
      <c r="AX65" s="46" t="str">
        <f t="shared" ca="1" si="6"/>
        <v/>
      </c>
      <c r="AY65" s="46" t="str">
        <f t="shared" ca="1" si="39"/>
        <v/>
      </c>
      <c r="BA65" s="12">
        <f>Kontenplan!R67</f>
        <v>3</v>
      </c>
      <c r="BB65" s="12">
        <f>Kontenplan!S67</f>
        <v>2</v>
      </c>
      <c r="BC65" s="12">
        <f>Kontenplan!T67</f>
        <v>4</v>
      </c>
      <c r="BD65" s="170">
        <f>Kontenplan!U67</f>
        <v>2</v>
      </c>
      <c r="BF65" s="24">
        <f ca="1">SUM(AP$7:AP65)</f>
        <v>0</v>
      </c>
      <c r="BG65" s="46">
        <f ca="1">SUM(AQ$7:AQ64)</f>
        <v>0</v>
      </c>
      <c r="BH65" s="24">
        <f t="shared" ca="1" si="40"/>
        <v>0</v>
      </c>
      <c r="BI65" s="24"/>
      <c r="BJ65" s="24">
        <f ca="1">SUM(AX$7:AX65)</f>
        <v>0</v>
      </c>
      <c r="BK65" s="24">
        <f ca="1">SUM(AY$7:AY64)</f>
        <v>0</v>
      </c>
      <c r="BL65" s="24">
        <f t="shared" ca="1" si="41"/>
        <v>0</v>
      </c>
      <c r="BN65" s="24">
        <f ca="1">SUM(AB$7:AB65)</f>
        <v>0</v>
      </c>
      <c r="BO65" s="46">
        <f ca="1">SUM(AC$7:AC64)</f>
        <v>0</v>
      </c>
      <c r="BP65" s="24">
        <f t="shared" ca="1" si="42"/>
        <v>0</v>
      </c>
      <c r="BR65" s="24">
        <f ca="1">SUM(AH$7:AH65)</f>
        <v>0</v>
      </c>
      <c r="BS65" s="46">
        <f ca="1">SUM(AI$7:AI64)</f>
        <v>0</v>
      </c>
      <c r="BT65" s="24">
        <f t="shared" ca="1" si="43"/>
        <v>0</v>
      </c>
    </row>
    <row r="66" spans="1:72" s="12" customFormat="1">
      <c r="A66" s="202" t="str">
        <f>Kontenplan!C68</f>
        <v>Ertragskonto</v>
      </c>
      <c r="B66" s="224">
        <f>Kontenplan!E68</f>
        <v>5080</v>
      </c>
      <c r="C66" s="225" t="str">
        <f>Kontenplan!F68</f>
        <v>NK-Akkontozhlg: Partei 8</v>
      </c>
      <c r="D66" s="43">
        <f>IF(B66=0,0,SUMIF(Journal!$F$7:$F$83,Calc!B66,Journal!$I$7:$I$83))</f>
        <v>0</v>
      </c>
      <c r="E66" s="15">
        <f ca="1">IF(B66=0,0,SUMIF(Journal!$G$7:$M140,Calc!B66,Journal!$I$7:$I$83))</f>
        <v>0</v>
      </c>
      <c r="F66" s="44">
        <f t="shared" ca="1" si="7"/>
        <v>0</v>
      </c>
      <c r="G66" s="15">
        <f t="shared" ca="1" si="8"/>
        <v>0</v>
      </c>
      <c r="H66" s="14" t="str">
        <f t="shared" ca="1" si="9"/>
        <v xml:space="preserve"> </v>
      </c>
      <c r="I66" s="43" t="str">
        <f t="shared" ca="1" si="10"/>
        <v xml:space="preserve"> </v>
      </c>
      <c r="J66" s="45" t="str">
        <f t="shared" ca="1" si="11"/>
        <v xml:space="preserve"> </v>
      </c>
      <c r="K66" s="48" t="str">
        <f t="shared" ca="1" si="12"/>
        <v xml:space="preserve"> </v>
      </c>
      <c r="L66" s="45" t="str">
        <f t="shared" ca="1" si="13"/>
        <v xml:space="preserve"> </v>
      </c>
      <c r="M66" s="48" t="str">
        <f t="shared" ca="1" si="14"/>
        <v xml:space="preserve"> </v>
      </c>
      <c r="N66" s="24"/>
      <c r="O66" s="12">
        <f t="shared" si="15"/>
        <v>10.009999999999977</v>
      </c>
      <c r="P66" s="12">
        <f t="shared" si="16"/>
        <v>9.0081999999999809</v>
      </c>
      <c r="Q66" s="12">
        <f t="shared" si="17"/>
        <v>31.001999999999995</v>
      </c>
      <c r="R66" s="12">
        <f t="shared" si="18"/>
        <v>10</v>
      </c>
      <c r="S66" s="12">
        <f t="shared" si="19"/>
        <v>5080</v>
      </c>
      <c r="T66" s="12" t="str">
        <f t="shared" si="20"/>
        <v>NK-Akkontozhlg: Partei 8</v>
      </c>
      <c r="U66" s="43">
        <f ca="1">IF(OR(A66=Kontenplan!$C$3,A66=Kontenplan!$C$5),F66-G66,G66-F66)</f>
        <v>0</v>
      </c>
      <c r="V66" s="171">
        <f t="shared" si="3"/>
        <v>60</v>
      </c>
      <c r="W66" s="12">
        <f t="shared" si="4"/>
        <v>33</v>
      </c>
      <c r="X66" s="12">
        <f t="shared" si="5"/>
        <v>35</v>
      </c>
      <c r="Y66" s="12">
        <f>IF(Z66=0,VLOOKUP(W66,Kontenplan!$Y$9:$AA$551,3),"")</f>
        <v>0</v>
      </c>
      <c r="Z66" s="12">
        <f t="shared" si="21"/>
        <v>0</v>
      </c>
      <c r="AA66" s="12" t="str">
        <f t="shared" ca="1" si="22"/>
        <v/>
      </c>
      <c r="AB66" s="46" t="str">
        <f t="shared" ca="1" si="23"/>
        <v/>
      </c>
      <c r="AC66" s="46" t="str">
        <f t="shared" ca="1" si="24"/>
        <v/>
      </c>
      <c r="AD66" s="47"/>
      <c r="AE66" s="12">
        <f>IF(AF66=0,VLOOKUP(X66,Kontenplan!$Z$9:$AB$551,3),"")</f>
        <v>0</v>
      </c>
      <c r="AF66" s="47">
        <f t="shared" si="25"/>
        <v>0</v>
      </c>
      <c r="AG66" s="12" t="str">
        <f t="shared" ca="1" si="26"/>
        <v/>
      </c>
      <c r="AH66" s="46" t="str">
        <f t="shared" ca="1" si="27"/>
        <v/>
      </c>
      <c r="AI66" s="46" t="str">
        <f t="shared" ca="1" si="28"/>
        <v/>
      </c>
      <c r="AJ66" s="46"/>
      <c r="AK66" s="147">
        <f t="shared" ca="1" si="29"/>
        <v>2.0050000000000106</v>
      </c>
      <c r="AL66" s="147">
        <f t="shared" si="30"/>
        <v>2.0053000000000112</v>
      </c>
      <c r="AM66" s="12" t="str">
        <f>IF(V66&lt;=AO$3,VLOOKUP(V66,Kontenplan!$A$9:$D$278,4),"")</f>
        <v/>
      </c>
      <c r="AN66" s="12">
        <f t="shared" si="31"/>
        <v>0</v>
      </c>
      <c r="AO66" s="12" t="str">
        <f t="shared" ca="1" si="32"/>
        <v/>
      </c>
      <c r="AP66" s="46" t="str">
        <f t="shared" ca="1" si="33"/>
        <v/>
      </c>
      <c r="AQ66" s="46" t="str">
        <f t="shared" ca="1" si="34"/>
        <v/>
      </c>
      <c r="AR66" s="46"/>
      <c r="AS66" s="147">
        <f t="shared" ca="1" si="35"/>
        <v>3.0049000000000103</v>
      </c>
      <c r="AT66" s="147">
        <f t="shared" si="36"/>
        <v>2.0054000000000114</v>
      </c>
      <c r="AU66" s="47" t="str">
        <f>IF(V66&lt;=AW$3,VLOOKUP(AO$3+V66,Kontenplan!$A$9:$D$278,4),"")</f>
        <v/>
      </c>
      <c r="AV66" s="12">
        <f t="shared" si="37"/>
        <v>0</v>
      </c>
      <c r="AW66" s="12" t="str">
        <f t="shared" ca="1" si="38"/>
        <v/>
      </c>
      <c r="AX66" s="46" t="str">
        <f t="shared" ca="1" si="6"/>
        <v/>
      </c>
      <c r="AY66" s="46" t="str">
        <f t="shared" ca="1" si="39"/>
        <v/>
      </c>
      <c r="BA66" s="12">
        <f>Kontenplan!R68</f>
        <v>3</v>
      </c>
      <c r="BB66" s="12">
        <f>Kontenplan!S68</f>
        <v>2</v>
      </c>
      <c r="BC66" s="12">
        <f>Kontenplan!T68</f>
        <v>4</v>
      </c>
      <c r="BD66" s="170">
        <f>Kontenplan!U68</f>
        <v>2</v>
      </c>
      <c r="BF66" s="24">
        <f ca="1">SUM(AP$7:AP66)</f>
        <v>0</v>
      </c>
      <c r="BG66" s="46">
        <f ca="1">SUM(AQ$7:AQ65)</f>
        <v>0</v>
      </c>
      <c r="BH66" s="24">
        <f t="shared" ca="1" si="40"/>
        <v>0</v>
      </c>
      <c r="BI66" s="24"/>
      <c r="BJ66" s="24">
        <f ca="1">SUM(AX$7:AX66)</f>
        <v>0</v>
      </c>
      <c r="BK66" s="24">
        <f ca="1">SUM(AY$7:AY65)</f>
        <v>0</v>
      </c>
      <c r="BL66" s="24">
        <f t="shared" ca="1" si="41"/>
        <v>0</v>
      </c>
      <c r="BN66" s="24">
        <f ca="1">SUM(AB$7:AB66)</f>
        <v>0</v>
      </c>
      <c r="BO66" s="46">
        <f ca="1">SUM(AC$7:AC65)</f>
        <v>0</v>
      </c>
      <c r="BP66" s="24">
        <f t="shared" ca="1" si="42"/>
        <v>0</v>
      </c>
      <c r="BR66" s="24">
        <f ca="1">SUM(AH$7:AH66)</f>
        <v>0</v>
      </c>
      <c r="BS66" s="46">
        <f ca="1">SUM(AI$7:AI65)</f>
        <v>0</v>
      </c>
      <c r="BT66" s="24">
        <f t="shared" ca="1" si="43"/>
        <v>0</v>
      </c>
    </row>
    <row r="67" spans="1:72" s="12" customFormat="1">
      <c r="A67" s="202" t="str">
        <f>Kontenplan!C69</f>
        <v>Ertragskonto</v>
      </c>
      <c r="B67" s="224">
        <f>Kontenplan!E69</f>
        <v>5090</v>
      </c>
      <c r="C67" s="225" t="str">
        <f>Kontenplan!F69</f>
        <v>NK-Akkontozhlg: Partei 9</v>
      </c>
      <c r="D67" s="43">
        <f>IF(B67=0,0,SUMIF(Journal!$F$7:$F$83,Calc!B67,Journal!$I$7:$I$83))</f>
        <v>0</v>
      </c>
      <c r="E67" s="15">
        <f ca="1">IF(B67=0,0,SUMIF(Journal!$G$7:$M141,Calc!B67,Journal!$I$7:$I$83))</f>
        <v>0</v>
      </c>
      <c r="F67" s="44">
        <f t="shared" ca="1" si="7"/>
        <v>0</v>
      </c>
      <c r="G67" s="15">
        <f t="shared" ca="1" si="8"/>
        <v>0</v>
      </c>
      <c r="H67" s="14" t="str">
        <f t="shared" ca="1" si="9"/>
        <v xml:space="preserve"> </v>
      </c>
      <c r="I67" s="43" t="str">
        <f t="shared" ca="1" si="10"/>
        <v xml:space="preserve"> </v>
      </c>
      <c r="J67" s="45" t="str">
        <f t="shared" ca="1" si="11"/>
        <v xml:space="preserve"> </v>
      </c>
      <c r="K67" s="48" t="str">
        <f t="shared" ca="1" si="12"/>
        <v xml:space="preserve"> </v>
      </c>
      <c r="L67" s="45" t="str">
        <f t="shared" ca="1" si="13"/>
        <v xml:space="preserve"> </v>
      </c>
      <c r="M67" s="48" t="str">
        <f t="shared" ca="1" si="14"/>
        <v xml:space="preserve"> </v>
      </c>
      <c r="N67" s="24"/>
      <c r="O67" s="12">
        <f t="shared" si="15"/>
        <v>10.010199999999976</v>
      </c>
      <c r="P67" s="12">
        <f t="shared" si="16"/>
        <v>9.0083999999999804</v>
      </c>
      <c r="Q67" s="12">
        <f t="shared" si="17"/>
        <v>31.002199999999995</v>
      </c>
      <c r="R67" s="12">
        <f t="shared" si="18"/>
        <v>11</v>
      </c>
      <c r="S67" s="12">
        <f t="shared" si="19"/>
        <v>5090</v>
      </c>
      <c r="T67" s="12" t="str">
        <f t="shared" si="20"/>
        <v>NK-Akkontozhlg: Partei 9</v>
      </c>
      <c r="U67" s="43">
        <f ca="1">IF(OR(A67=Kontenplan!$C$3,A67=Kontenplan!$C$5),F67-G67,G67-F67)</f>
        <v>0</v>
      </c>
      <c r="V67" s="171">
        <f t="shared" si="3"/>
        <v>61</v>
      </c>
      <c r="W67" s="12">
        <f t="shared" si="4"/>
        <v>34</v>
      </c>
      <c r="X67" s="12">
        <f t="shared" si="5"/>
        <v>36</v>
      </c>
      <c r="Y67" s="12">
        <f>IF(Z67=0,VLOOKUP(W67,Kontenplan!$Y$9:$AA$551,3),"")</f>
        <v>0</v>
      </c>
      <c r="Z67" s="12">
        <f t="shared" si="21"/>
        <v>0</v>
      </c>
      <c r="AA67" s="12" t="str">
        <f t="shared" ca="1" si="22"/>
        <v/>
      </c>
      <c r="AB67" s="46" t="str">
        <f t="shared" ca="1" si="23"/>
        <v/>
      </c>
      <c r="AC67" s="46" t="str">
        <f t="shared" ca="1" si="24"/>
        <v/>
      </c>
      <c r="AD67" s="47"/>
      <c r="AE67" s="12">
        <f>IF(AF67=0,VLOOKUP(X67,Kontenplan!$Z$9:$AB$551,3),"")</f>
        <v>0</v>
      </c>
      <c r="AF67" s="47">
        <f t="shared" si="25"/>
        <v>0</v>
      </c>
      <c r="AG67" s="12" t="str">
        <f t="shared" ca="1" si="26"/>
        <v/>
      </c>
      <c r="AH67" s="46" t="str">
        <f t="shared" ca="1" si="27"/>
        <v/>
      </c>
      <c r="AI67" s="46" t="str">
        <f t="shared" ca="1" si="28"/>
        <v/>
      </c>
      <c r="AJ67" s="46"/>
      <c r="AK67" s="147">
        <f t="shared" ca="1" si="29"/>
        <v>2.0051000000000108</v>
      </c>
      <c r="AL67" s="147">
        <f t="shared" si="30"/>
        <v>2.0054000000000114</v>
      </c>
      <c r="AM67" s="12" t="str">
        <f>IF(V67&lt;=AO$3,VLOOKUP(V67,Kontenplan!$A$9:$D$278,4),"")</f>
        <v/>
      </c>
      <c r="AN67" s="12">
        <f t="shared" si="31"/>
        <v>0</v>
      </c>
      <c r="AO67" s="12" t="str">
        <f t="shared" ca="1" si="32"/>
        <v/>
      </c>
      <c r="AP67" s="46" t="str">
        <f t="shared" ca="1" si="33"/>
        <v/>
      </c>
      <c r="AQ67" s="46" t="str">
        <f t="shared" ca="1" si="34"/>
        <v/>
      </c>
      <c r="AR67" s="46"/>
      <c r="AS67" s="147">
        <f t="shared" ca="1" si="35"/>
        <v>3.0050000000000106</v>
      </c>
      <c r="AT67" s="147">
        <f t="shared" si="36"/>
        <v>2.0055000000000116</v>
      </c>
      <c r="AU67" s="47" t="str">
        <f>IF(V67&lt;=AW$3,VLOOKUP(AO$3+V67,Kontenplan!$A$9:$D$278,4),"")</f>
        <v/>
      </c>
      <c r="AV67" s="12">
        <f t="shared" si="37"/>
        <v>0</v>
      </c>
      <c r="AW67" s="12" t="str">
        <f t="shared" ca="1" si="38"/>
        <v/>
      </c>
      <c r="AX67" s="46" t="str">
        <f t="shared" ca="1" si="6"/>
        <v/>
      </c>
      <c r="AY67" s="46" t="str">
        <f t="shared" ca="1" si="39"/>
        <v/>
      </c>
      <c r="BA67" s="12">
        <f>Kontenplan!R69</f>
        <v>3</v>
      </c>
      <c r="BB67" s="12">
        <f>Kontenplan!S69</f>
        <v>2</v>
      </c>
      <c r="BC67" s="12">
        <f>Kontenplan!T69</f>
        <v>4</v>
      </c>
      <c r="BD67" s="170">
        <f>Kontenplan!U69</f>
        <v>2</v>
      </c>
      <c r="BF67" s="24">
        <f ca="1">SUM(AP$7:AP67)</f>
        <v>0</v>
      </c>
      <c r="BG67" s="46">
        <f ca="1">SUM(AQ$7:AQ66)</f>
        <v>0</v>
      </c>
      <c r="BH67" s="24">
        <f t="shared" ca="1" si="40"/>
        <v>0</v>
      </c>
      <c r="BI67" s="24"/>
      <c r="BJ67" s="24">
        <f ca="1">SUM(AX$7:AX67)</f>
        <v>0</v>
      </c>
      <c r="BK67" s="24">
        <f ca="1">SUM(AY$7:AY66)</f>
        <v>0</v>
      </c>
      <c r="BL67" s="24">
        <f t="shared" ca="1" si="41"/>
        <v>0</v>
      </c>
      <c r="BN67" s="24">
        <f ca="1">SUM(AB$7:AB67)</f>
        <v>0</v>
      </c>
      <c r="BO67" s="46">
        <f ca="1">SUM(AC$7:AC66)</f>
        <v>0</v>
      </c>
      <c r="BP67" s="24">
        <f t="shared" ca="1" si="42"/>
        <v>0</v>
      </c>
      <c r="BR67" s="24">
        <f ca="1">SUM(AH$7:AH67)</f>
        <v>0</v>
      </c>
      <c r="BS67" s="46">
        <f ca="1">SUM(AI$7:AI66)</f>
        <v>0</v>
      </c>
      <c r="BT67" s="24">
        <f t="shared" ca="1" si="43"/>
        <v>0</v>
      </c>
    </row>
    <row r="68" spans="1:72" s="12" customFormat="1">
      <c r="A68" s="202" t="str">
        <f>Kontenplan!C70</f>
        <v>Ertragskonto</v>
      </c>
      <c r="B68" s="224">
        <f>Kontenplan!E70</f>
        <v>5100</v>
      </c>
      <c r="C68" s="225" t="str">
        <f>Kontenplan!F70</f>
        <v>NK-Akkontozhlg: Partei 10</v>
      </c>
      <c r="D68" s="43">
        <f>IF(B68=0,0,SUMIF(Journal!$F$7:$F$83,Calc!B68,Journal!$I$7:$I$83))</f>
        <v>0</v>
      </c>
      <c r="E68" s="15">
        <f ca="1">IF(B68=0,0,SUMIF(Journal!$G$7:$M142,Calc!B68,Journal!$I$7:$I$83))</f>
        <v>0</v>
      </c>
      <c r="F68" s="44">
        <f t="shared" ca="1" si="7"/>
        <v>0</v>
      </c>
      <c r="G68" s="15">
        <f t="shared" ca="1" si="8"/>
        <v>0</v>
      </c>
      <c r="H68" s="14" t="str">
        <f t="shared" ca="1" si="9"/>
        <v xml:space="preserve"> </v>
      </c>
      <c r="I68" s="43" t="str">
        <f t="shared" ca="1" si="10"/>
        <v xml:space="preserve"> </v>
      </c>
      <c r="J68" s="45" t="str">
        <f t="shared" ca="1" si="11"/>
        <v xml:space="preserve"> </v>
      </c>
      <c r="K68" s="48" t="str">
        <f t="shared" ca="1" si="12"/>
        <v xml:space="preserve"> </v>
      </c>
      <c r="L68" s="45" t="str">
        <f t="shared" ca="1" si="13"/>
        <v xml:space="preserve"> </v>
      </c>
      <c r="M68" s="48" t="str">
        <f t="shared" ca="1" si="14"/>
        <v xml:space="preserve"> </v>
      </c>
      <c r="N68" s="24"/>
      <c r="O68" s="12">
        <f t="shared" si="15"/>
        <v>10.010399999999976</v>
      </c>
      <c r="P68" s="12">
        <f t="shared" si="16"/>
        <v>9.00859999999998</v>
      </c>
      <c r="Q68" s="12">
        <f t="shared" si="17"/>
        <v>31.002399999999994</v>
      </c>
      <c r="R68" s="12">
        <f t="shared" si="18"/>
        <v>12</v>
      </c>
      <c r="S68" s="12">
        <f t="shared" si="19"/>
        <v>5100</v>
      </c>
      <c r="T68" s="12" t="str">
        <f t="shared" si="20"/>
        <v>NK-Akkontozhlg: Partei 10</v>
      </c>
      <c r="U68" s="43">
        <f ca="1">IF(OR(A68=Kontenplan!$C$3,A68=Kontenplan!$C$5),F68-G68,G68-F68)</f>
        <v>0</v>
      </c>
      <c r="V68" s="171">
        <f t="shared" si="3"/>
        <v>62</v>
      </c>
      <c r="W68" s="12">
        <f t="shared" si="4"/>
        <v>35</v>
      </c>
      <c r="X68" s="12">
        <f t="shared" si="5"/>
        <v>37</v>
      </c>
      <c r="Y68" s="12">
        <f>IF(Z68=0,VLOOKUP(W68,Kontenplan!$Y$9:$AA$551,3),"")</f>
        <v>0</v>
      </c>
      <c r="Z68" s="12">
        <f t="shared" si="21"/>
        <v>0</v>
      </c>
      <c r="AA68" s="12" t="str">
        <f t="shared" ca="1" si="22"/>
        <v/>
      </c>
      <c r="AB68" s="46" t="str">
        <f t="shared" ca="1" si="23"/>
        <v/>
      </c>
      <c r="AC68" s="46" t="str">
        <f t="shared" ca="1" si="24"/>
        <v/>
      </c>
      <c r="AD68" s="47"/>
      <c r="AE68" s="12">
        <f>IF(AF68=0,VLOOKUP(X68,Kontenplan!$Z$9:$AB$551,3),"")</f>
        <v>0</v>
      </c>
      <c r="AF68" s="47">
        <f t="shared" si="25"/>
        <v>0</v>
      </c>
      <c r="AG68" s="12" t="str">
        <f t="shared" ca="1" si="26"/>
        <v/>
      </c>
      <c r="AH68" s="46" t="str">
        <f t="shared" ca="1" si="27"/>
        <v/>
      </c>
      <c r="AI68" s="46" t="str">
        <f t="shared" ca="1" si="28"/>
        <v/>
      </c>
      <c r="AJ68" s="46"/>
      <c r="AK68" s="147">
        <f t="shared" ca="1" si="29"/>
        <v>2.005200000000011</v>
      </c>
      <c r="AL68" s="147">
        <f t="shared" si="30"/>
        <v>2.0055000000000116</v>
      </c>
      <c r="AM68" s="12" t="str">
        <f>IF(V68&lt;=AO$3,VLOOKUP(V68,Kontenplan!$A$9:$D$278,4),"")</f>
        <v/>
      </c>
      <c r="AN68" s="12">
        <f t="shared" si="31"/>
        <v>0</v>
      </c>
      <c r="AO68" s="12" t="str">
        <f t="shared" ca="1" si="32"/>
        <v/>
      </c>
      <c r="AP68" s="46" t="str">
        <f t="shared" ca="1" si="33"/>
        <v/>
      </c>
      <c r="AQ68" s="46" t="str">
        <f t="shared" ca="1" si="34"/>
        <v/>
      </c>
      <c r="AR68" s="46"/>
      <c r="AS68" s="147">
        <f t="shared" ca="1" si="35"/>
        <v>3.0051000000000108</v>
      </c>
      <c r="AT68" s="147">
        <f t="shared" si="36"/>
        <v>2.0056000000000118</v>
      </c>
      <c r="AU68" s="47" t="str">
        <f>IF(V68&lt;=AW$3,VLOOKUP(AO$3+V68,Kontenplan!$A$9:$D$278,4),"")</f>
        <v/>
      </c>
      <c r="AV68" s="12">
        <f t="shared" si="37"/>
        <v>0</v>
      </c>
      <c r="AW68" s="12" t="str">
        <f t="shared" ca="1" si="38"/>
        <v/>
      </c>
      <c r="AX68" s="46" t="str">
        <f t="shared" ca="1" si="6"/>
        <v/>
      </c>
      <c r="AY68" s="46" t="str">
        <f t="shared" ca="1" si="39"/>
        <v/>
      </c>
      <c r="BA68" s="12">
        <f>Kontenplan!R70</f>
        <v>3</v>
      </c>
      <c r="BB68" s="12">
        <f>Kontenplan!S70</f>
        <v>2</v>
      </c>
      <c r="BC68" s="12">
        <f>Kontenplan!T70</f>
        <v>4</v>
      </c>
      <c r="BD68" s="170">
        <f>Kontenplan!U70</f>
        <v>2</v>
      </c>
      <c r="BF68" s="24">
        <f ca="1">SUM(AP$7:AP68)</f>
        <v>0</v>
      </c>
      <c r="BG68" s="46">
        <f ca="1">SUM(AQ$7:AQ67)</f>
        <v>0</v>
      </c>
      <c r="BH68" s="24">
        <f t="shared" ca="1" si="40"/>
        <v>0</v>
      </c>
      <c r="BI68" s="24"/>
      <c r="BJ68" s="24">
        <f ca="1">SUM(AX$7:AX68)</f>
        <v>0</v>
      </c>
      <c r="BK68" s="24">
        <f ca="1">SUM(AY$7:AY67)</f>
        <v>0</v>
      </c>
      <c r="BL68" s="24">
        <f t="shared" ca="1" si="41"/>
        <v>0</v>
      </c>
      <c r="BN68" s="24">
        <f ca="1">SUM(AB$7:AB68)</f>
        <v>0</v>
      </c>
      <c r="BO68" s="46">
        <f ca="1">SUM(AC$7:AC67)</f>
        <v>0</v>
      </c>
      <c r="BP68" s="24">
        <f t="shared" ca="1" si="42"/>
        <v>0</v>
      </c>
      <c r="BR68" s="24">
        <f ca="1">SUM(AH$7:AH68)</f>
        <v>0</v>
      </c>
      <c r="BS68" s="46">
        <f ca="1">SUM(AI$7:AI67)</f>
        <v>0</v>
      </c>
      <c r="BT68" s="24">
        <f t="shared" ca="1" si="43"/>
        <v>0</v>
      </c>
    </row>
    <row r="69" spans="1:72" s="12" customFormat="1">
      <c r="A69" s="202" t="str">
        <f>Kontenplan!C71</f>
        <v>Ertragskonto</v>
      </c>
      <c r="B69" s="224">
        <f>Kontenplan!E71</f>
        <v>5110</v>
      </c>
      <c r="C69" s="225" t="str">
        <f>Kontenplan!F71</f>
        <v>NK-Akkontozhlg: Partei 11</v>
      </c>
      <c r="D69" s="43">
        <f>IF(B69=0,0,SUMIF(Journal!$F$7:$F$83,Calc!B69,Journal!$I$7:$I$83))</f>
        <v>0</v>
      </c>
      <c r="E69" s="15">
        <f ca="1">IF(B69=0,0,SUMIF(Journal!$G$7:$M143,Calc!B69,Journal!$I$7:$I$83))</f>
        <v>0</v>
      </c>
      <c r="F69" s="44">
        <f t="shared" ca="1" si="7"/>
        <v>0</v>
      </c>
      <c r="G69" s="15">
        <f t="shared" ca="1" si="8"/>
        <v>0</v>
      </c>
      <c r="H69" s="14" t="str">
        <f t="shared" ca="1" si="9"/>
        <v xml:space="preserve"> </v>
      </c>
      <c r="I69" s="43" t="str">
        <f t="shared" ca="1" si="10"/>
        <v xml:space="preserve"> </v>
      </c>
      <c r="J69" s="45" t="str">
        <f t="shared" ca="1" si="11"/>
        <v xml:space="preserve"> </v>
      </c>
      <c r="K69" s="48" t="str">
        <f t="shared" ca="1" si="12"/>
        <v xml:space="preserve"> </v>
      </c>
      <c r="L69" s="45" t="str">
        <f t="shared" ca="1" si="13"/>
        <v xml:space="preserve"> </v>
      </c>
      <c r="M69" s="48" t="str">
        <f t="shared" ca="1" si="14"/>
        <v xml:space="preserve"> </v>
      </c>
      <c r="N69" s="24"/>
      <c r="O69" s="12">
        <f t="shared" si="15"/>
        <v>10.010599999999975</v>
      </c>
      <c r="P69" s="12">
        <f t="shared" si="16"/>
        <v>9.0087999999999795</v>
      </c>
      <c r="Q69" s="12">
        <f t="shared" si="17"/>
        <v>31.002599999999994</v>
      </c>
      <c r="R69" s="12">
        <f t="shared" si="18"/>
        <v>13</v>
      </c>
      <c r="S69" s="12">
        <f t="shared" si="19"/>
        <v>5110</v>
      </c>
      <c r="T69" s="12" t="str">
        <f t="shared" si="20"/>
        <v>NK-Akkontozhlg: Partei 11</v>
      </c>
      <c r="U69" s="43">
        <f ca="1">IF(OR(A69=Kontenplan!$C$3,A69=Kontenplan!$C$5),F69-G69,G69-F69)</f>
        <v>0</v>
      </c>
      <c r="V69" s="171">
        <f t="shared" si="3"/>
        <v>63</v>
      </c>
      <c r="W69" s="12">
        <f t="shared" si="4"/>
        <v>36</v>
      </c>
      <c r="X69" s="12">
        <f t="shared" si="5"/>
        <v>38</v>
      </c>
      <c r="Y69" s="12">
        <f>IF(Z69=0,VLOOKUP(W69,Kontenplan!$Y$9:$AA$551,3),"")</f>
        <v>0</v>
      </c>
      <c r="Z69" s="12">
        <f t="shared" si="21"/>
        <v>0</v>
      </c>
      <c r="AA69" s="12" t="str">
        <f t="shared" ca="1" si="22"/>
        <v/>
      </c>
      <c r="AB69" s="46" t="str">
        <f t="shared" ca="1" si="23"/>
        <v/>
      </c>
      <c r="AC69" s="46" t="str">
        <f t="shared" ca="1" si="24"/>
        <v/>
      </c>
      <c r="AD69" s="47"/>
      <c r="AE69" s="12">
        <f>IF(AF69=0,VLOOKUP(X69,Kontenplan!$Z$9:$AB$551,3),"")</f>
        <v>0</v>
      </c>
      <c r="AF69" s="47">
        <f t="shared" si="25"/>
        <v>0</v>
      </c>
      <c r="AG69" s="12" t="str">
        <f t="shared" ca="1" si="26"/>
        <v/>
      </c>
      <c r="AH69" s="46" t="str">
        <f t="shared" ca="1" si="27"/>
        <v/>
      </c>
      <c r="AI69" s="46" t="str">
        <f t="shared" ca="1" si="28"/>
        <v/>
      </c>
      <c r="AJ69" s="46"/>
      <c r="AK69" s="147">
        <f t="shared" ca="1" si="29"/>
        <v>2.0053000000000112</v>
      </c>
      <c r="AL69" s="147">
        <f t="shared" si="30"/>
        <v>2.0056000000000118</v>
      </c>
      <c r="AM69" s="12" t="str">
        <f>IF(V69&lt;=AO$3,VLOOKUP(V69,Kontenplan!$A$9:$D$278,4),"")</f>
        <v/>
      </c>
      <c r="AN69" s="12">
        <f t="shared" si="31"/>
        <v>0</v>
      </c>
      <c r="AO69" s="12" t="str">
        <f t="shared" ca="1" si="32"/>
        <v/>
      </c>
      <c r="AP69" s="46" t="str">
        <f t="shared" ca="1" si="33"/>
        <v/>
      </c>
      <c r="AQ69" s="46" t="str">
        <f t="shared" ca="1" si="34"/>
        <v/>
      </c>
      <c r="AR69" s="46"/>
      <c r="AS69" s="147">
        <f t="shared" ca="1" si="35"/>
        <v>3.005200000000011</v>
      </c>
      <c r="AT69" s="147">
        <f t="shared" si="36"/>
        <v>2.005700000000012</v>
      </c>
      <c r="AU69" s="47" t="str">
        <f>IF(V69&lt;=AW$3,VLOOKUP(AO$3+V69,Kontenplan!$A$9:$D$278,4),"")</f>
        <v/>
      </c>
      <c r="AV69" s="12">
        <f t="shared" si="37"/>
        <v>0</v>
      </c>
      <c r="AW69" s="12" t="str">
        <f t="shared" ca="1" si="38"/>
        <v/>
      </c>
      <c r="AX69" s="46" t="str">
        <f t="shared" ca="1" si="6"/>
        <v/>
      </c>
      <c r="AY69" s="46" t="str">
        <f t="shared" ca="1" si="39"/>
        <v/>
      </c>
      <c r="BA69" s="12">
        <f>Kontenplan!R71</f>
        <v>3</v>
      </c>
      <c r="BB69" s="12">
        <f>Kontenplan!S71</f>
        <v>2</v>
      </c>
      <c r="BC69" s="12">
        <f>Kontenplan!T71</f>
        <v>4</v>
      </c>
      <c r="BD69" s="170">
        <f>Kontenplan!U71</f>
        <v>2</v>
      </c>
      <c r="BF69" s="24">
        <f ca="1">SUM(AP$7:AP69)</f>
        <v>0</v>
      </c>
      <c r="BG69" s="46">
        <f ca="1">SUM(AQ$7:AQ68)</f>
        <v>0</v>
      </c>
      <c r="BH69" s="24">
        <f t="shared" ca="1" si="40"/>
        <v>0</v>
      </c>
      <c r="BI69" s="24"/>
      <c r="BJ69" s="24">
        <f ca="1">SUM(AX$7:AX69)</f>
        <v>0</v>
      </c>
      <c r="BK69" s="24">
        <f ca="1">SUM(AY$7:AY68)</f>
        <v>0</v>
      </c>
      <c r="BL69" s="24">
        <f t="shared" ca="1" si="41"/>
        <v>0</v>
      </c>
      <c r="BN69" s="24">
        <f ca="1">SUM(AB$7:AB69)</f>
        <v>0</v>
      </c>
      <c r="BO69" s="46">
        <f ca="1">SUM(AC$7:AC68)</f>
        <v>0</v>
      </c>
      <c r="BP69" s="24">
        <f t="shared" ca="1" si="42"/>
        <v>0</v>
      </c>
      <c r="BR69" s="24">
        <f ca="1">SUM(AH$7:AH69)</f>
        <v>0</v>
      </c>
      <c r="BS69" s="46">
        <f ca="1">SUM(AI$7:AI68)</f>
        <v>0</v>
      </c>
      <c r="BT69" s="24">
        <f t="shared" ca="1" si="43"/>
        <v>0</v>
      </c>
    </row>
    <row r="70" spans="1:72" s="12" customFormat="1">
      <c r="A70" s="202" t="str">
        <f>Kontenplan!C72</f>
        <v>Ertragskonto</v>
      </c>
      <c r="B70" s="224">
        <f>Kontenplan!E72</f>
        <v>5120</v>
      </c>
      <c r="C70" s="225" t="str">
        <f>Kontenplan!F72</f>
        <v>NK-Akkontozhlg: Partei 12</v>
      </c>
      <c r="D70" s="43">
        <f>IF(B70=0,0,SUMIF(Journal!$F$7:$F$83,Calc!B70,Journal!$I$7:$I$83))</f>
        <v>0</v>
      </c>
      <c r="E70" s="15">
        <f ca="1">IF(B70=0,0,SUMIF(Journal!$G$7:$M144,Calc!B70,Journal!$I$7:$I$83))</f>
        <v>0</v>
      </c>
      <c r="F70" s="44">
        <f t="shared" ca="1" si="7"/>
        <v>0</v>
      </c>
      <c r="G70" s="15">
        <f t="shared" ca="1" si="8"/>
        <v>0</v>
      </c>
      <c r="H70" s="14" t="str">
        <f t="shared" ca="1" si="9"/>
        <v xml:space="preserve"> </v>
      </c>
      <c r="I70" s="43" t="str">
        <f t="shared" ca="1" si="10"/>
        <v xml:space="preserve"> </v>
      </c>
      <c r="J70" s="45" t="str">
        <f t="shared" ca="1" si="11"/>
        <v xml:space="preserve"> </v>
      </c>
      <c r="K70" s="48" t="str">
        <f t="shared" ca="1" si="12"/>
        <v xml:space="preserve"> </v>
      </c>
      <c r="L70" s="45" t="str">
        <f t="shared" ca="1" si="13"/>
        <v xml:space="preserve"> </v>
      </c>
      <c r="M70" s="48" t="str">
        <f t="shared" ca="1" si="14"/>
        <v xml:space="preserve"> </v>
      </c>
      <c r="N70" s="24"/>
      <c r="O70" s="12">
        <f t="shared" si="15"/>
        <v>10.010799999999975</v>
      </c>
      <c r="P70" s="12">
        <f t="shared" si="16"/>
        <v>9.008999999999979</v>
      </c>
      <c r="Q70" s="12">
        <f t="shared" si="17"/>
        <v>31.002799999999993</v>
      </c>
      <c r="R70" s="12">
        <f t="shared" si="18"/>
        <v>14</v>
      </c>
      <c r="S70" s="12">
        <f t="shared" si="19"/>
        <v>5120</v>
      </c>
      <c r="T70" s="12" t="str">
        <f t="shared" si="20"/>
        <v>NK-Akkontozhlg: Partei 12</v>
      </c>
      <c r="U70" s="43">
        <f ca="1">IF(OR(A70=Kontenplan!$C$3,A70=Kontenplan!$C$5),F70-G70,G70-F70)</f>
        <v>0</v>
      </c>
      <c r="V70" s="171">
        <f t="shared" si="3"/>
        <v>64</v>
      </c>
      <c r="W70" s="12">
        <f t="shared" si="4"/>
        <v>37</v>
      </c>
      <c r="X70" s="12">
        <f t="shared" si="5"/>
        <v>39</v>
      </c>
      <c r="Y70" s="12">
        <f>IF(Z70=0,VLOOKUP(W70,Kontenplan!$Y$9:$AA$551,3),"")</f>
        <v>0</v>
      </c>
      <c r="Z70" s="12">
        <f t="shared" si="21"/>
        <v>0</v>
      </c>
      <c r="AA70" s="12" t="str">
        <f t="shared" ca="1" si="22"/>
        <v/>
      </c>
      <c r="AB70" s="46" t="str">
        <f t="shared" ca="1" si="23"/>
        <v/>
      </c>
      <c r="AC70" s="46" t="str">
        <f t="shared" ca="1" si="24"/>
        <v/>
      </c>
      <c r="AD70" s="47"/>
      <c r="AE70" s="12">
        <f>IF(AF70=0,VLOOKUP(X70,Kontenplan!$Z$9:$AB$551,3),"")</f>
        <v>0</v>
      </c>
      <c r="AF70" s="47">
        <f t="shared" si="25"/>
        <v>0</v>
      </c>
      <c r="AG70" s="12" t="str">
        <f t="shared" ca="1" si="26"/>
        <v/>
      </c>
      <c r="AH70" s="46" t="str">
        <f t="shared" ca="1" si="27"/>
        <v/>
      </c>
      <c r="AI70" s="46" t="str">
        <f t="shared" ca="1" si="28"/>
        <v/>
      </c>
      <c r="AJ70" s="46"/>
      <c r="AK70" s="147">
        <f t="shared" ca="1" si="29"/>
        <v>2.0054000000000114</v>
      </c>
      <c r="AL70" s="147">
        <f t="shared" si="30"/>
        <v>2.005700000000012</v>
      </c>
      <c r="AM70" s="12" t="str">
        <f>IF(V70&lt;=AO$3,VLOOKUP(V70,Kontenplan!$A$9:$D$278,4),"")</f>
        <v/>
      </c>
      <c r="AN70" s="12">
        <f t="shared" si="31"/>
        <v>0</v>
      </c>
      <c r="AO70" s="12" t="str">
        <f t="shared" ca="1" si="32"/>
        <v/>
      </c>
      <c r="AP70" s="46" t="str">
        <f t="shared" ca="1" si="33"/>
        <v/>
      </c>
      <c r="AQ70" s="46" t="str">
        <f t="shared" ca="1" si="34"/>
        <v/>
      </c>
      <c r="AR70" s="46"/>
      <c r="AS70" s="147">
        <f t="shared" ca="1" si="35"/>
        <v>3.0053000000000112</v>
      </c>
      <c r="AT70" s="147">
        <f t="shared" si="36"/>
        <v>2.0058000000000122</v>
      </c>
      <c r="AU70" s="47" t="str">
        <f>IF(V70&lt;=AW$3,VLOOKUP(AO$3+V70,Kontenplan!$A$9:$D$278,4),"")</f>
        <v/>
      </c>
      <c r="AV70" s="12">
        <f t="shared" si="37"/>
        <v>0</v>
      </c>
      <c r="AW70" s="12" t="str">
        <f t="shared" ca="1" si="38"/>
        <v/>
      </c>
      <c r="AX70" s="46" t="str">
        <f t="shared" ca="1" si="6"/>
        <v/>
      </c>
      <c r="AY70" s="46" t="str">
        <f t="shared" ca="1" si="39"/>
        <v/>
      </c>
      <c r="BA70" s="12">
        <f>Kontenplan!R72</f>
        <v>3</v>
      </c>
      <c r="BB70" s="12">
        <f>Kontenplan!S72</f>
        <v>2</v>
      </c>
      <c r="BC70" s="12">
        <f>Kontenplan!T72</f>
        <v>4</v>
      </c>
      <c r="BD70" s="170">
        <f>Kontenplan!U72</f>
        <v>2</v>
      </c>
      <c r="BF70" s="24">
        <f ca="1">SUM(AP$7:AP70)</f>
        <v>0</v>
      </c>
      <c r="BG70" s="46">
        <f ca="1">SUM(AQ$7:AQ69)</f>
        <v>0</v>
      </c>
      <c r="BH70" s="24">
        <f t="shared" ca="1" si="40"/>
        <v>0</v>
      </c>
      <c r="BI70" s="24"/>
      <c r="BJ70" s="24">
        <f ca="1">SUM(AX$7:AX70)</f>
        <v>0</v>
      </c>
      <c r="BK70" s="24">
        <f ca="1">SUM(AY$7:AY69)</f>
        <v>0</v>
      </c>
      <c r="BL70" s="24">
        <f t="shared" ca="1" si="41"/>
        <v>0</v>
      </c>
      <c r="BN70" s="24">
        <f ca="1">SUM(AB$7:AB70)</f>
        <v>0</v>
      </c>
      <c r="BO70" s="46">
        <f ca="1">SUM(AC$7:AC69)</f>
        <v>0</v>
      </c>
      <c r="BP70" s="24">
        <f t="shared" ca="1" si="42"/>
        <v>0</v>
      </c>
      <c r="BR70" s="24">
        <f ca="1">SUM(AH$7:AH70)</f>
        <v>0</v>
      </c>
      <c r="BS70" s="46">
        <f ca="1">SUM(AI$7:AI69)</f>
        <v>0</v>
      </c>
      <c r="BT70" s="24">
        <f t="shared" ca="1" si="43"/>
        <v>0</v>
      </c>
    </row>
    <row r="71" spans="1:72" s="12" customFormat="1">
      <c r="A71" s="202">
        <f>Kontenplan!C73</f>
        <v>0</v>
      </c>
      <c r="B71" s="224">
        <f>Kontenplan!E73</f>
        <v>0</v>
      </c>
      <c r="C71" s="225">
        <f>Kontenplan!F73</f>
        <v>0</v>
      </c>
      <c r="D71" s="43">
        <f>IF(B71=0,0,SUMIF(Journal!$F$7:$F$83,Calc!B71,Journal!$I$7:$I$83))</f>
        <v>0</v>
      </c>
      <c r="E71" s="15">
        <f>IF(B71=0,0,SUMIF(Journal!$G$7:$M145,Calc!B71,Journal!$I$7:$I$83))</f>
        <v>0</v>
      </c>
      <c r="F71" s="44">
        <f t="shared" si="7"/>
        <v>0</v>
      </c>
      <c r="G71" s="15">
        <f t="shared" si="8"/>
        <v>0</v>
      </c>
      <c r="H71" s="14" t="str">
        <f t="shared" si="9"/>
        <v xml:space="preserve"> </v>
      </c>
      <c r="I71" s="43" t="str">
        <f t="shared" si="10"/>
        <v xml:space="preserve"> </v>
      </c>
      <c r="J71" s="45" t="str">
        <f t="shared" si="11"/>
        <v xml:space="preserve"> </v>
      </c>
      <c r="K71" s="48" t="str">
        <f t="shared" si="12"/>
        <v xml:space="preserve"> </v>
      </c>
      <c r="L71" s="45" t="str">
        <f t="shared" si="13"/>
        <v xml:space="preserve"> </v>
      </c>
      <c r="M71" s="48" t="str">
        <f t="shared" si="14"/>
        <v xml:space="preserve"> </v>
      </c>
      <c r="N71" s="24"/>
      <c r="O71" s="12">
        <f t="shared" si="15"/>
        <v>10.010999999999974</v>
      </c>
      <c r="P71" s="12">
        <f t="shared" si="16"/>
        <v>9.0091999999999786</v>
      </c>
      <c r="Q71" s="12">
        <f t="shared" si="17"/>
        <v>31.002999999999993</v>
      </c>
      <c r="R71" s="12">
        <f t="shared" si="18"/>
        <v>15</v>
      </c>
      <c r="S71" s="12">
        <f t="shared" si="19"/>
        <v>0</v>
      </c>
      <c r="T71" s="12">
        <f t="shared" si="20"/>
        <v>0</v>
      </c>
      <c r="U71" s="43">
        <f>IF(OR(A71=Kontenplan!$C$3,A71=Kontenplan!$C$5),F71-G71,G71-F71)</f>
        <v>0</v>
      </c>
      <c r="V71" s="171">
        <f t="shared" ref="V71:V134" si="44">V70+1</f>
        <v>65</v>
      </c>
      <c r="W71" s="12">
        <f t="shared" si="4"/>
        <v>38</v>
      </c>
      <c r="X71" s="12">
        <f t="shared" si="5"/>
        <v>40</v>
      </c>
      <c r="Y71" s="12">
        <f>IF(Z71=0,VLOOKUP(W71,Kontenplan!$Y$9:$AA$551,3),"")</f>
        <v>0</v>
      </c>
      <c r="Z71" s="12">
        <f t="shared" si="21"/>
        <v>0</v>
      </c>
      <c r="AA71" s="12" t="str">
        <f t="shared" ca="1" si="22"/>
        <v/>
      </c>
      <c r="AB71" s="46" t="str">
        <f t="shared" ca="1" si="23"/>
        <v/>
      </c>
      <c r="AC71" s="46" t="str">
        <f t="shared" ca="1" si="24"/>
        <v/>
      </c>
      <c r="AD71" s="47"/>
      <c r="AE71" s="12">
        <f>IF(AF71=0,VLOOKUP(X71,Kontenplan!$Z$9:$AB$551,3),"")</f>
        <v>0</v>
      </c>
      <c r="AF71" s="47">
        <f t="shared" si="25"/>
        <v>0</v>
      </c>
      <c r="AG71" s="12" t="str">
        <f t="shared" ca="1" si="26"/>
        <v/>
      </c>
      <c r="AH71" s="46" t="str">
        <f t="shared" ca="1" si="27"/>
        <v/>
      </c>
      <c r="AI71" s="46" t="str">
        <f t="shared" ca="1" si="28"/>
        <v/>
      </c>
      <c r="AJ71" s="46"/>
      <c r="AK71" s="147">
        <f t="shared" ca="1" si="29"/>
        <v>2.0055000000000116</v>
      </c>
      <c r="AL71" s="147">
        <f t="shared" si="30"/>
        <v>2.0058000000000122</v>
      </c>
      <c r="AM71" s="12" t="str">
        <f>IF(V71&lt;=AO$3,VLOOKUP(V71,Kontenplan!$A$9:$D$278,4),"")</f>
        <v/>
      </c>
      <c r="AN71" s="12">
        <f t="shared" si="31"/>
        <v>0</v>
      </c>
      <c r="AO71" s="12" t="str">
        <f t="shared" ca="1" si="32"/>
        <v/>
      </c>
      <c r="AP71" s="46" t="str">
        <f t="shared" ca="1" si="33"/>
        <v/>
      </c>
      <c r="AQ71" s="46" t="str">
        <f t="shared" ca="1" si="34"/>
        <v/>
      </c>
      <c r="AR71" s="46"/>
      <c r="AS71" s="147">
        <f t="shared" ca="1" si="35"/>
        <v>3.0054000000000114</v>
      </c>
      <c r="AT71" s="147">
        <f t="shared" si="36"/>
        <v>2.0059000000000125</v>
      </c>
      <c r="AU71" s="47" t="str">
        <f>IF(V71&lt;=AW$3,VLOOKUP(AO$3+V71,Kontenplan!$A$9:$D$278,4),"")</f>
        <v/>
      </c>
      <c r="AV71" s="12">
        <f t="shared" si="37"/>
        <v>0</v>
      </c>
      <c r="AW71" s="12" t="str">
        <f t="shared" ca="1" si="38"/>
        <v/>
      </c>
      <c r="AX71" s="46" t="str">
        <f t="shared" ca="1" si="6"/>
        <v/>
      </c>
      <c r="AY71" s="46" t="str">
        <f t="shared" ca="1" si="39"/>
        <v/>
      </c>
      <c r="BA71" s="12">
        <f>Kontenplan!R73</f>
        <v>3</v>
      </c>
      <c r="BB71" s="12">
        <f>Kontenplan!S73</f>
        <v>2</v>
      </c>
      <c r="BC71" s="12">
        <f>Kontenplan!T73</f>
        <v>4</v>
      </c>
      <c r="BD71" s="170">
        <f>Kontenplan!U73</f>
        <v>3</v>
      </c>
      <c r="BF71" s="24">
        <f ca="1">SUM(AP$7:AP71)</f>
        <v>0</v>
      </c>
      <c r="BG71" s="46">
        <f ca="1">SUM(AQ$7:AQ70)</f>
        <v>0</v>
      </c>
      <c r="BH71" s="24">
        <f t="shared" ca="1" si="40"/>
        <v>0</v>
      </c>
      <c r="BI71" s="24"/>
      <c r="BJ71" s="24">
        <f ca="1">SUM(AX$7:AX71)</f>
        <v>0</v>
      </c>
      <c r="BK71" s="24">
        <f ca="1">SUM(AY$7:AY70)</f>
        <v>0</v>
      </c>
      <c r="BL71" s="24">
        <f t="shared" ca="1" si="41"/>
        <v>0</v>
      </c>
      <c r="BN71" s="24">
        <f ca="1">SUM(AB$7:AB71)</f>
        <v>0</v>
      </c>
      <c r="BO71" s="46">
        <f ca="1">SUM(AC$7:AC70)</f>
        <v>0</v>
      </c>
      <c r="BP71" s="24">
        <f t="shared" ca="1" si="42"/>
        <v>0</v>
      </c>
      <c r="BR71" s="24">
        <f ca="1">SUM(AH$7:AH71)</f>
        <v>0</v>
      </c>
      <c r="BS71" s="46">
        <f ca="1">SUM(AI$7:AI70)</f>
        <v>0</v>
      </c>
      <c r="BT71" s="24">
        <f t="shared" ca="1" si="43"/>
        <v>0</v>
      </c>
    </row>
    <row r="72" spans="1:72" s="12" customFormat="1">
      <c r="A72" s="202" t="str">
        <f>Kontenplan!C74</f>
        <v>Ertragskonto</v>
      </c>
      <c r="B72" s="224">
        <f>Kontenplan!E74</f>
        <v>6010</v>
      </c>
      <c r="C72" s="225" t="str">
        <f>Kontenplan!F74</f>
        <v>NK-Rückzhgen: Partei 1</v>
      </c>
      <c r="D72" s="43">
        <f>IF(B72=0,0,SUMIF(Journal!$F$7:$F$83,Calc!B72,Journal!$I$7:$I$83))</f>
        <v>0</v>
      </c>
      <c r="E72" s="15">
        <f ca="1">IF(B72=0,0,SUMIF(Journal!$G$7:$M146,Calc!B72,Journal!$I$7:$I$83))</f>
        <v>0</v>
      </c>
      <c r="F72" s="44">
        <f t="shared" ca="1" si="7"/>
        <v>0</v>
      </c>
      <c r="G72" s="15">
        <f t="shared" ca="1" si="8"/>
        <v>0</v>
      </c>
      <c r="H72" s="14" t="str">
        <f t="shared" ca="1" si="9"/>
        <v xml:space="preserve"> </v>
      </c>
      <c r="I72" s="43" t="str">
        <f t="shared" ca="1" si="10"/>
        <v xml:space="preserve"> </v>
      </c>
      <c r="J72" s="45" t="str">
        <f t="shared" ca="1" si="11"/>
        <v xml:space="preserve"> </v>
      </c>
      <c r="K72" s="48" t="str">
        <f t="shared" ca="1" si="12"/>
        <v xml:space="preserve"> </v>
      </c>
      <c r="L72" s="45" t="str">
        <f t="shared" ca="1" si="13"/>
        <v xml:space="preserve"> </v>
      </c>
      <c r="M72" s="48" t="str">
        <f t="shared" ca="1" si="14"/>
        <v xml:space="preserve"> </v>
      </c>
      <c r="N72" s="24"/>
      <c r="O72" s="12">
        <f t="shared" si="15"/>
        <v>10.011199999999974</v>
      </c>
      <c r="P72" s="12">
        <f t="shared" si="16"/>
        <v>9.0093999999999781</v>
      </c>
      <c r="Q72" s="12">
        <f t="shared" si="17"/>
        <v>31.003199999999993</v>
      </c>
      <c r="R72" s="12">
        <f t="shared" si="18"/>
        <v>16</v>
      </c>
      <c r="S72" s="12">
        <f t="shared" si="19"/>
        <v>6010</v>
      </c>
      <c r="T72" s="12" t="str">
        <f t="shared" si="20"/>
        <v>NK-Rückzhgen: Partei 1</v>
      </c>
      <c r="U72" s="43">
        <f ca="1">IF(OR(A72=Kontenplan!$C$3,A72=Kontenplan!$C$5),F72-G72,G72-F72)</f>
        <v>0</v>
      </c>
      <c r="V72" s="171">
        <f t="shared" si="44"/>
        <v>66</v>
      </c>
      <c r="W72" s="12">
        <f t="shared" ref="W72:W135" si="45">IF(Z72=0,ROUND(W71+1,0),W71+0.00001)</f>
        <v>39</v>
      </c>
      <c r="X72" s="12">
        <f t="shared" ref="X72:X135" si="46">IF(AF72=0,ROUND(X71+1,0),X71+0.00001)</f>
        <v>41</v>
      </c>
      <c r="Y72" s="12">
        <f>IF(Z72=0,VLOOKUP(W72,Kontenplan!$Y$9:$AA$551,3),"")</f>
        <v>0</v>
      </c>
      <c r="Z72" s="12">
        <f t="shared" si="21"/>
        <v>0</v>
      </c>
      <c r="AA72" s="12" t="str">
        <f t="shared" ca="1" si="22"/>
        <v/>
      </c>
      <c r="AB72" s="46" t="str">
        <f t="shared" ca="1" si="23"/>
        <v/>
      </c>
      <c r="AC72" s="46" t="str">
        <f t="shared" ca="1" si="24"/>
        <v/>
      </c>
      <c r="AD72" s="47"/>
      <c r="AE72" s="12">
        <f>IF(AF72=0,VLOOKUP(X72,Kontenplan!$Z$9:$AB$551,3),"")</f>
        <v>0</v>
      </c>
      <c r="AF72" s="47">
        <f t="shared" si="25"/>
        <v>0</v>
      </c>
      <c r="AG72" s="12" t="str">
        <f t="shared" ca="1" si="26"/>
        <v/>
      </c>
      <c r="AH72" s="46" t="str">
        <f t="shared" ca="1" si="27"/>
        <v/>
      </c>
      <c r="AI72" s="46" t="str">
        <f t="shared" ca="1" si="28"/>
        <v/>
      </c>
      <c r="AJ72" s="46"/>
      <c r="AK72" s="147">
        <f t="shared" ca="1" si="29"/>
        <v>2.0056000000000118</v>
      </c>
      <c r="AL72" s="147">
        <f t="shared" si="30"/>
        <v>2.0059000000000125</v>
      </c>
      <c r="AM72" s="12" t="str">
        <f>IF(V72&lt;=AO$3,VLOOKUP(V72,Kontenplan!$A$9:$D$278,4),"")</f>
        <v/>
      </c>
      <c r="AN72" s="12">
        <f t="shared" si="31"/>
        <v>0</v>
      </c>
      <c r="AO72" s="12" t="str">
        <f t="shared" ca="1" si="32"/>
        <v/>
      </c>
      <c r="AP72" s="46" t="str">
        <f t="shared" ca="1" si="33"/>
        <v/>
      </c>
      <c r="AQ72" s="46" t="str">
        <f t="shared" ca="1" si="34"/>
        <v/>
      </c>
      <c r="AR72" s="46"/>
      <c r="AS72" s="147">
        <f t="shared" ca="1" si="35"/>
        <v>3.0055000000000116</v>
      </c>
      <c r="AT72" s="147">
        <f t="shared" si="36"/>
        <v>2.0060000000000127</v>
      </c>
      <c r="AU72" s="47" t="str">
        <f>IF(V72&lt;=AW$3,VLOOKUP(AO$3+V72,Kontenplan!$A$9:$D$278,4),"")</f>
        <v/>
      </c>
      <c r="AV72" s="12">
        <f t="shared" si="37"/>
        <v>0</v>
      </c>
      <c r="AW72" s="12" t="str">
        <f t="shared" ca="1" si="38"/>
        <v/>
      </c>
      <c r="AX72" s="46" t="str">
        <f t="shared" ca="1" si="6"/>
        <v/>
      </c>
      <c r="AY72" s="46" t="str">
        <f t="shared" ca="1" si="39"/>
        <v/>
      </c>
      <c r="BA72" s="12">
        <f>Kontenplan!R74</f>
        <v>3</v>
      </c>
      <c r="BB72" s="12">
        <f>Kontenplan!S74</f>
        <v>2</v>
      </c>
      <c r="BC72" s="12">
        <f>Kontenplan!T74</f>
        <v>4</v>
      </c>
      <c r="BD72" s="170">
        <f>Kontenplan!U74</f>
        <v>3</v>
      </c>
      <c r="BF72" s="24">
        <f ca="1">SUM(AP$7:AP72)</f>
        <v>0</v>
      </c>
      <c r="BG72" s="46">
        <f ca="1">SUM(AQ$7:AQ71)</f>
        <v>0</v>
      </c>
      <c r="BH72" s="24">
        <f t="shared" ca="1" si="40"/>
        <v>0</v>
      </c>
      <c r="BI72" s="24"/>
      <c r="BJ72" s="24">
        <f ca="1">SUM(AX$7:AX72)</f>
        <v>0</v>
      </c>
      <c r="BK72" s="24">
        <f ca="1">SUM(AY$7:AY71)</f>
        <v>0</v>
      </c>
      <c r="BL72" s="24">
        <f t="shared" ca="1" si="41"/>
        <v>0</v>
      </c>
      <c r="BN72" s="24">
        <f ca="1">SUM(AB$7:AB72)</f>
        <v>0</v>
      </c>
      <c r="BO72" s="46">
        <f ca="1">SUM(AC$7:AC71)</f>
        <v>0</v>
      </c>
      <c r="BP72" s="24">
        <f t="shared" ca="1" si="42"/>
        <v>0</v>
      </c>
      <c r="BR72" s="24">
        <f ca="1">SUM(AH$7:AH72)</f>
        <v>0</v>
      </c>
      <c r="BS72" s="46">
        <f ca="1">SUM(AI$7:AI71)</f>
        <v>0</v>
      </c>
      <c r="BT72" s="24">
        <f t="shared" ca="1" si="43"/>
        <v>0</v>
      </c>
    </row>
    <row r="73" spans="1:72" s="12" customFormat="1">
      <c r="A73" s="202" t="str">
        <f>Kontenplan!C75</f>
        <v>Ertragskonto</v>
      </c>
      <c r="B73" s="224">
        <f>Kontenplan!E75</f>
        <v>6020</v>
      </c>
      <c r="C73" s="225" t="str">
        <f>Kontenplan!F75</f>
        <v>NK-Rückzhgen: Partei 2</v>
      </c>
      <c r="D73" s="43">
        <f>IF(B73=0,0,SUMIF(Journal!$F$7:$F$83,Calc!B73,Journal!$I$7:$I$83))</f>
        <v>0</v>
      </c>
      <c r="E73" s="15">
        <f ca="1">IF(B73=0,0,SUMIF(Journal!$G$7:$M147,Calc!B73,Journal!$I$7:$I$83))</f>
        <v>0</v>
      </c>
      <c r="F73" s="44">
        <f t="shared" ca="1" si="7"/>
        <v>0</v>
      </c>
      <c r="G73" s="15">
        <f t="shared" ca="1" si="8"/>
        <v>0</v>
      </c>
      <c r="H73" s="14" t="str">
        <f t="shared" ca="1" si="9"/>
        <v xml:space="preserve"> </v>
      </c>
      <c r="I73" s="43" t="str">
        <f t="shared" ca="1" si="10"/>
        <v xml:space="preserve"> </v>
      </c>
      <c r="J73" s="45" t="str">
        <f t="shared" ca="1" si="11"/>
        <v xml:space="preserve"> </v>
      </c>
      <c r="K73" s="48" t="str">
        <f t="shared" ca="1" si="12"/>
        <v xml:space="preserve"> </v>
      </c>
      <c r="L73" s="45" t="str">
        <f t="shared" ca="1" si="13"/>
        <v xml:space="preserve"> </v>
      </c>
      <c r="M73" s="48" t="str">
        <f t="shared" ca="1" si="14"/>
        <v xml:space="preserve"> </v>
      </c>
      <c r="N73" s="24"/>
      <c r="O73" s="12">
        <f t="shared" si="15"/>
        <v>10.011399999999973</v>
      </c>
      <c r="P73" s="12">
        <f t="shared" si="16"/>
        <v>9.0095999999999776</v>
      </c>
      <c r="Q73" s="12">
        <f t="shared" si="17"/>
        <v>31.003399999999992</v>
      </c>
      <c r="R73" s="12">
        <f t="shared" si="18"/>
        <v>17</v>
      </c>
      <c r="S73" s="12">
        <f t="shared" si="19"/>
        <v>6020</v>
      </c>
      <c r="T73" s="12" t="str">
        <f t="shared" si="20"/>
        <v>NK-Rückzhgen: Partei 2</v>
      </c>
      <c r="U73" s="43">
        <f ca="1">IF(OR(A73=Kontenplan!$C$3,A73=Kontenplan!$C$5),F73-G73,G73-F73)</f>
        <v>0</v>
      </c>
      <c r="V73" s="171">
        <f t="shared" si="44"/>
        <v>67</v>
      </c>
      <c r="W73" s="12">
        <f t="shared" si="45"/>
        <v>40</v>
      </c>
      <c r="X73" s="12">
        <f t="shared" si="46"/>
        <v>42</v>
      </c>
      <c r="Y73" s="12">
        <f>IF(Z73=0,VLOOKUP(W73,Kontenplan!$Y$9:$AA$551,3),"")</f>
        <v>0</v>
      </c>
      <c r="Z73" s="12">
        <f t="shared" si="21"/>
        <v>0</v>
      </c>
      <c r="AA73" s="12" t="str">
        <f t="shared" ca="1" si="22"/>
        <v/>
      </c>
      <c r="AB73" s="46" t="str">
        <f t="shared" ca="1" si="23"/>
        <v/>
      </c>
      <c r="AC73" s="46" t="str">
        <f t="shared" ca="1" si="24"/>
        <v/>
      </c>
      <c r="AD73" s="47"/>
      <c r="AE73" s="12">
        <f>IF(AF73=0,VLOOKUP(X73,Kontenplan!$Z$9:$AB$551,3),"")</f>
        <v>0</v>
      </c>
      <c r="AF73" s="47">
        <f t="shared" si="25"/>
        <v>0</v>
      </c>
      <c r="AG73" s="12" t="str">
        <f t="shared" ca="1" si="26"/>
        <v/>
      </c>
      <c r="AH73" s="46" t="str">
        <f t="shared" ca="1" si="27"/>
        <v/>
      </c>
      <c r="AI73" s="46" t="str">
        <f t="shared" ca="1" si="28"/>
        <v/>
      </c>
      <c r="AJ73" s="46"/>
      <c r="AK73" s="147">
        <f t="shared" ca="1" si="29"/>
        <v>2.005700000000012</v>
      </c>
      <c r="AL73" s="147">
        <f t="shared" si="30"/>
        <v>2.0060000000000127</v>
      </c>
      <c r="AM73" s="12" t="str">
        <f>IF(V73&lt;=AO$3,VLOOKUP(V73,Kontenplan!$A$9:$D$278,4),"")</f>
        <v/>
      </c>
      <c r="AN73" s="12">
        <f t="shared" si="31"/>
        <v>0</v>
      </c>
      <c r="AO73" s="12" t="str">
        <f t="shared" ca="1" si="32"/>
        <v/>
      </c>
      <c r="AP73" s="46" t="str">
        <f t="shared" ca="1" si="33"/>
        <v/>
      </c>
      <c r="AQ73" s="46" t="str">
        <f t="shared" ca="1" si="34"/>
        <v/>
      </c>
      <c r="AR73" s="46"/>
      <c r="AS73" s="147">
        <f t="shared" ca="1" si="35"/>
        <v>3.0056000000000118</v>
      </c>
      <c r="AT73" s="147">
        <f t="shared" si="36"/>
        <v>2.0061000000000129</v>
      </c>
      <c r="AU73" s="47" t="str">
        <f>IF(V73&lt;=AW$3,VLOOKUP(AO$3+V73,Kontenplan!$A$9:$D$278,4),"")</f>
        <v/>
      </c>
      <c r="AV73" s="12">
        <f t="shared" si="37"/>
        <v>0</v>
      </c>
      <c r="AW73" s="12" t="str">
        <f t="shared" ca="1" si="38"/>
        <v/>
      </c>
      <c r="AX73" s="46" t="str">
        <f t="shared" ref="AX73:AX136" ca="1" si="47">IF($H$284=0,0,IF(AW73="Gewinn",I$280,IF(AW73="Total","c",IF(AO$4+2&lt;V73,"",VLOOKUP(V73,$P$7:$U$276,6)))))</f>
        <v/>
      </c>
      <c r="AY73" s="46" t="str">
        <f t="shared" ca="1" si="39"/>
        <v/>
      </c>
      <c r="BA73" s="12">
        <f>Kontenplan!R75</f>
        <v>3</v>
      </c>
      <c r="BB73" s="12">
        <f>Kontenplan!S75</f>
        <v>2</v>
      </c>
      <c r="BC73" s="12">
        <f>Kontenplan!T75</f>
        <v>4</v>
      </c>
      <c r="BD73" s="170">
        <f>Kontenplan!U75</f>
        <v>3</v>
      </c>
      <c r="BF73" s="24">
        <f ca="1">SUM(AP$7:AP73)</f>
        <v>0</v>
      </c>
      <c r="BG73" s="46">
        <f ca="1">SUM(AQ$7:AQ72)</f>
        <v>0</v>
      </c>
      <c r="BH73" s="24">
        <f t="shared" ca="1" si="40"/>
        <v>0</v>
      </c>
      <c r="BI73" s="24"/>
      <c r="BJ73" s="24">
        <f ca="1">SUM(AX$7:AX73)</f>
        <v>0</v>
      </c>
      <c r="BK73" s="24">
        <f ca="1">SUM(AY$7:AY72)</f>
        <v>0</v>
      </c>
      <c r="BL73" s="24">
        <f t="shared" ca="1" si="41"/>
        <v>0</v>
      </c>
      <c r="BN73" s="24">
        <f ca="1">SUM(AB$7:AB73)</f>
        <v>0</v>
      </c>
      <c r="BO73" s="46">
        <f ca="1">SUM(AC$7:AC72)</f>
        <v>0</v>
      </c>
      <c r="BP73" s="24">
        <f t="shared" ca="1" si="42"/>
        <v>0</v>
      </c>
      <c r="BR73" s="24">
        <f ca="1">SUM(AH$7:AH73)</f>
        <v>0</v>
      </c>
      <c r="BS73" s="46">
        <f ca="1">SUM(AI$7:AI72)</f>
        <v>0</v>
      </c>
      <c r="BT73" s="24">
        <f t="shared" ca="1" si="43"/>
        <v>0</v>
      </c>
    </row>
    <row r="74" spans="1:72" s="12" customFormat="1">
      <c r="A74" s="202" t="str">
        <f>Kontenplan!C76</f>
        <v>Ertragskonto</v>
      </c>
      <c r="B74" s="224">
        <f>Kontenplan!E76</f>
        <v>6030</v>
      </c>
      <c r="C74" s="225" t="str">
        <f>Kontenplan!F76</f>
        <v>NK-Rückzhgen: Partei 3</v>
      </c>
      <c r="D74" s="43">
        <f>IF(B74=0,0,SUMIF(Journal!$F$7:$F$83,Calc!B74,Journal!$I$7:$I$83))</f>
        <v>0</v>
      </c>
      <c r="E74" s="15">
        <f ca="1">IF(B74=0,0,SUMIF(Journal!$G$7:$M148,Calc!B74,Journal!$I$7:$I$83))</f>
        <v>0</v>
      </c>
      <c r="F74" s="44">
        <f t="shared" ca="1" si="7"/>
        <v>0</v>
      </c>
      <c r="G74" s="15">
        <f t="shared" ca="1" si="8"/>
        <v>0</v>
      </c>
      <c r="H74" s="14" t="str">
        <f t="shared" ca="1" si="9"/>
        <v xml:space="preserve"> </v>
      </c>
      <c r="I74" s="43" t="str">
        <f t="shared" ca="1" si="10"/>
        <v xml:space="preserve"> </v>
      </c>
      <c r="J74" s="45" t="str">
        <f t="shared" ca="1" si="11"/>
        <v xml:space="preserve"> </v>
      </c>
      <c r="K74" s="48" t="str">
        <f t="shared" ca="1" si="12"/>
        <v xml:space="preserve"> </v>
      </c>
      <c r="L74" s="45" t="str">
        <f t="shared" ca="1" si="13"/>
        <v xml:space="preserve"> </v>
      </c>
      <c r="M74" s="48" t="str">
        <f t="shared" ca="1" si="14"/>
        <v xml:space="preserve"> </v>
      </c>
      <c r="N74" s="24"/>
      <c r="O74" s="12">
        <f t="shared" si="15"/>
        <v>10.011599999999973</v>
      </c>
      <c r="P74" s="12">
        <f t="shared" si="16"/>
        <v>9.0097999999999772</v>
      </c>
      <c r="Q74" s="12">
        <f t="shared" si="17"/>
        <v>31.003599999999992</v>
      </c>
      <c r="R74" s="12">
        <f t="shared" si="18"/>
        <v>18</v>
      </c>
      <c r="S74" s="12">
        <f t="shared" si="19"/>
        <v>6030</v>
      </c>
      <c r="T74" s="12" t="str">
        <f t="shared" si="20"/>
        <v>NK-Rückzhgen: Partei 3</v>
      </c>
      <c r="U74" s="43">
        <f ca="1">IF(OR(A74=Kontenplan!$C$3,A74=Kontenplan!$C$5),F74-G74,G74-F74)</f>
        <v>0</v>
      </c>
      <c r="V74" s="171">
        <f t="shared" si="44"/>
        <v>68</v>
      </c>
      <c r="W74" s="12">
        <f t="shared" si="45"/>
        <v>41</v>
      </c>
      <c r="X74" s="12">
        <f t="shared" si="46"/>
        <v>43</v>
      </c>
      <c r="Y74" s="12">
        <f>IF(Z74=0,VLOOKUP(W74,Kontenplan!$Y$9:$AA$551,3),"")</f>
        <v>0</v>
      </c>
      <c r="Z74" s="12">
        <f t="shared" si="21"/>
        <v>0</v>
      </c>
      <c r="AA74" s="12" t="str">
        <f t="shared" ca="1" si="22"/>
        <v/>
      </c>
      <c r="AB74" s="46" t="str">
        <f t="shared" ca="1" si="23"/>
        <v/>
      </c>
      <c r="AC74" s="46" t="str">
        <f t="shared" ca="1" si="24"/>
        <v/>
      </c>
      <c r="AD74" s="47"/>
      <c r="AE74" s="12">
        <f>IF(AF74=0,VLOOKUP(X74,Kontenplan!$Z$9:$AB$551,3),"")</f>
        <v>0</v>
      </c>
      <c r="AF74" s="47">
        <f t="shared" si="25"/>
        <v>0</v>
      </c>
      <c r="AG74" s="12" t="str">
        <f t="shared" ca="1" si="26"/>
        <v/>
      </c>
      <c r="AH74" s="46" t="str">
        <f t="shared" ca="1" si="27"/>
        <v/>
      </c>
      <c r="AI74" s="46" t="str">
        <f t="shared" ca="1" si="28"/>
        <v/>
      </c>
      <c r="AJ74" s="46"/>
      <c r="AK74" s="147">
        <f t="shared" ca="1" si="29"/>
        <v>2.0058000000000122</v>
      </c>
      <c r="AL74" s="147">
        <f t="shared" si="30"/>
        <v>2.0061000000000129</v>
      </c>
      <c r="AM74" s="12" t="str">
        <f>IF(V74&lt;=AO$3,VLOOKUP(V74,Kontenplan!$A$9:$D$278,4),"")</f>
        <v/>
      </c>
      <c r="AN74" s="12">
        <f t="shared" si="31"/>
        <v>0</v>
      </c>
      <c r="AO74" s="12" t="str">
        <f t="shared" ca="1" si="32"/>
        <v/>
      </c>
      <c r="AP74" s="46" t="str">
        <f t="shared" ca="1" si="33"/>
        <v/>
      </c>
      <c r="AQ74" s="46" t="str">
        <f t="shared" ca="1" si="34"/>
        <v/>
      </c>
      <c r="AR74" s="46"/>
      <c r="AS74" s="147">
        <f t="shared" ca="1" si="35"/>
        <v>3.005700000000012</v>
      </c>
      <c r="AT74" s="147">
        <f t="shared" si="36"/>
        <v>2.0062000000000131</v>
      </c>
      <c r="AU74" s="47" t="str">
        <f>IF(V74&lt;=AW$3,VLOOKUP(AO$3+V74,Kontenplan!$A$9:$D$278,4),"")</f>
        <v/>
      </c>
      <c r="AV74" s="12">
        <f t="shared" si="37"/>
        <v>0</v>
      </c>
      <c r="AW74" s="12" t="str">
        <f t="shared" ca="1" si="38"/>
        <v/>
      </c>
      <c r="AX74" s="46" t="str">
        <f t="shared" ca="1" si="47"/>
        <v/>
      </c>
      <c r="AY74" s="46" t="str">
        <f t="shared" ca="1" si="39"/>
        <v/>
      </c>
      <c r="BA74" s="12">
        <f>Kontenplan!R76</f>
        <v>3</v>
      </c>
      <c r="BB74" s="12">
        <f>Kontenplan!S76</f>
        <v>2</v>
      </c>
      <c r="BC74" s="12">
        <f>Kontenplan!T76</f>
        <v>4</v>
      </c>
      <c r="BD74" s="170">
        <f>Kontenplan!U76</f>
        <v>3</v>
      </c>
      <c r="BF74" s="24">
        <f ca="1">SUM(AP$7:AP74)</f>
        <v>0</v>
      </c>
      <c r="BG74" s="46">
        <f ca="1">SUM(AQ$7:AQ73)</f>
        <v>0</v>
      </c>
      <c r="BH74" s="24">
        <f t="shared" ca="1" si="40"/>
        <v>0</v>
      </c>
      <c r="BI74" s="24"/>
      <c r="BJ74" s="24">
        <f ca="1">SUM(AX$7:AX74)</f>
        <v>0</v>
      </c>
      <c r="BK74" s="24">
        <f ca="1">SUM(AY$7:AY73)</f>
        <v>0</v>
      </c>
      <c r="BL74" s="24">
        <f t="shared" ca="1" si="41"/>
        <v>0</v>
      </c>
      <c r="BN74" s="24">
        <f ca="1">SUM(AB$7:AB74)</f>
        <v>0</v>
      </c>
      <c r="BO74" s="46">
        <f ca="1">SUM(AC$7:AC73)</f>
        <v>0</v>
      </c>
      <c r="BP74" s="24">
        <f t="shared" ca="1" si="42"/>
        <v>0</v>
      </c>
      <c r="BR74" s="24">
        <f ca="1">SUM(AH$7:AH74)</f>
        <v>0</v>
      </c>
      <c r="BS74" s="46">
        <f ca="1">SUM(AI$7:AI73)</f>
        <v>0</v>
      </c>
      <c r="BT74" s="24">
        <f t="shared" ca="1" si="43"/>
        <v>0</v>
      </c>
    </row>
    <row r="75" spans="1:72" s="12" customFormat="1">
      <c r="A75" s="202" t="str">
        <f>Kontenplan!C77</f>
        <v>Ertragskonto</v>
      </c>
      <c r="B75" s="224">
        <f>Kontenplan!E77</f>
        <v>6040</v>
      </c>
      <c r="C75" s="225" t="str">
        <f>Kontenplan!F77</f>
        <v>NK-Rückzhgen: Partei 4</v>
      </c>
      <c r="D75" s="43">
        <f>IF(B75=0,0,SUMIF(Journal!$F$7:$F$83,Calc!B75,Journal!$I$7:$I$83))</f>
        <v>0</v>
      </c>
      <c r="E75" s="15">
        <f ca="1">IF(B75=0,0,SUMIF(Journal!$G$7:$M149,Calc!B75,Journal!$I$7:$I$83))</f>
        <v>0</v>
      </c>
      <c r="F75" s="44">
        <f t="shared" ref="F75:F138" ca="1" si="48">IF(D75-E75&gt;0,D75-E75,0)</f>
        <v>0</v>
      </c>
      <c r="G75" s="15">
        <f t="shared" ref="G75:G138" ca="1" si="49">IF(E75&gt;D75,E75-D75,0)</f>
        <v>0</v>
      </c>
      <c r="H75" s="14" t="str">
        <f t="shared" ref="H75:H138" ca="1" si="50">IF(AND(OR(A75="Aktivkonto",A75="Passivkonto"),F75&gt;0),F75," ")</f>
        <v xml:space="preserve"> </v>
      </c>
      <c r="I75" s="43" t="str">
        <f t="shared" ref="I75:I138" ca="1" si="51">IF(AND(OR(A75="Aktivkonto",A75="Passivkonto"),G75&gt;0),G75," ")</f>
        <v xml:space="preserve"> </v>
      </c>
      <c r="J75" s="45" t="str">
        <f t="shared" ref="J75:J138" ca="1" si="52">IF(AND(OR(A75="Aufwandskonto",A75="Ertragskonto",A75="Ertragsminderung",A75="a.o.Erfolgskonto"),F75&gt;0),F75," ")</f>
        <v xml:space="preserve"> </v>
      </c>
      <c r="K75" s="48" t="str">
        <f t="shared" ref="K75:K138" ca="1" si="53">IF(AND(OR(A75="Aufwandskonto",A75="Ertragskonto",A75="Ertragsminderung",A75="a.o.Erfolgskonto"),G75&gt;0),G75," ")</f>
        <v xml:space="preserve"> </v>
      </c>
      <c r="L75" s="45" t="str">
        <f t="shared" ref="L75:L138" ca="1" si="54">H75</f>
        <v xml:space="preserve"> </v>
      </c>
      <c r="M75" s="48" t="str">
        <f t="shared" ref="M75:M138" ca="1" si="55">I75</f>
        <v xml:space="preserve"> </v>
      </c>
      <c r="N75" s="24"/>
      <c r="O75" s="12">
        <f t="shared" ref="O75:O138" si="56">IF(OR(BA75-BA74=1,$A75=O$5),ROUND(O74+1,0),O74+0.0002)</f>
        <v>10.011799999999972</v>
      </c>
      <c r="P75" s="12">
        <f t="shared" ref="P75:P138" si="57">IF(OR(BB75-BB74=1,$A75=P$5),ROUND(P74+1,0),P74+0.0002)</f>
        <v>9.0099999999999767</v>
      </c>
      <c r="Q75" s="12">
        <f t="shared" ref="Q75:Q138" si="58">IF(OR($A75=Q$5,BC75-BC74=1),ROUND(Q74+1,0),Q74+0.0002)</f>
        <v>31.003799999999991</v>
      </c>
      <c r="R75" s="12">
        <f t="shared" ref="R75:R138" si="59">IF(OR(BD75-BD74=1,$A75=R$5),ROUND(R74+1,0),R74+0.0002)</f>
        <v>19</v>
      </c>
      <c r="S75" s="12">
        <f t="shared" ref="S75:S138" si="60">B75</f>
        <v>6040</v>
      </c>
      <c r="T75" s="12" t="str">
        <f t="shared" ref="T75:T138" si="61">C75</f>
        <v>NK-Rückzhgen: Partei 4</v>
      </c>
      <c r="U75" s="43">
        <f ca="1">IF(OR(A75=Kontenplan!$C$3,A75=Kontenplan!$C$5),F75-G75,G75-F75)</f>
        <v>0</v>
      </c>
      <c r="V75" s="171">
        <f t="shared" si="44"/>
        <v>69</v>
      </c>
      <c r="W75" s="12">
        <f t="shared" si="45"/>
        <v>42</v>
      </c>
      <c r="X75" s="12">
        <f t="shared" si="46"/>
        <v>44</v>
      </c>
      <c r="Y75" s="12">
        <f>IF(Z75=0,VLOOKUP(W75,Kontenplan!$Y$9:$AA$551,3),"")</f>
        <v>0</v>
      </c>
      <c r="Z75" s="12">
        <f t="shared" ref="Z75:Z138" si="62">VLOOKUP(V75,$Q$7:$S$276,3)</f>
        <v>0</v>
      </c>
      <c r="AA75" s="12" t="str">
        <f t="shared" ref="AA75:AA138" ca="1" si="63">IF(AA$4+1=V75,$C$280,IF(AA$4+2=V75,"Total",IF(VLOOKUP(V75,$Q$7:$T$276,4)=0,"",VLOOKUP(V75,$Q$7:$T$276,4))))</f>
        <v/>
      </c>
      <c r="AB75" s="46" t="str">
        <f t="shared" ref="AB75:AB138" ca="1" si="64">IF($H$284=0,0,IF(AA$4+2=V75,"c",IF(AA75="Gewinn",J$280,IF(AA$4+2&lt;V75,"",VLOOKUP(V75,$Q$7:$U$276,5)))))</f>
        <v/>
      </c>
      <c r="AC75" s="46" t="str">
        <f t="shared" ref="AC75:AC138" ca="1" si="65">IF(AA75="Gewinn",AB75,IF(AA75="Total",BN75,IF(AND(Z76=0,Z75&gt;0),BP75,IF(AND(Z75&gt;0,Z76&gt;0),"",IF(Z75&gt;0,0,"")))))</f>
        <v/>
      </c>
      <c r="AD75" s="47"/>
      <c r="AE75" s="12">
        <f>IF(AF75=0,VLOOKUP(X75,Kontenplan!$Z$9:$AB$551,3),"")</f>
        <v>0</v>
      </c>
      <c r="AF75" s="47">
        <f t="shared" ref="AF75:AF138" si="66">VLOOKUP(V75,$R$7:$S$276,2)</f>
        <v>0</v>
      </c>
      <c r="AG75" s="12" t="str">
        <f t="shared" ref="AG75:AG138" ca="1" si="67">IF(AA$4+1=V75,$C$280,IF(AA$4+2=V75,"Total",IF(VLOOKUP(V75,$R$7:$T$276,3)=0,"",VLOOKUP(V75,$R$7:$T$276,3))))</f>
        <v/>
      </c>
      <c r="AH75" s="46" t="str">
        <f t="shared" ref="AH75:AH138" ca="1" si="68">IF($H$284=0,0,IF(AG75="Verlust",K$280,IF(AG75="Total","c",IF(AA$4+2&lt;V75,"",VLOOKUP(V75,$R$7:$U$276,4)))))</f>
        <v/>
      </c>
      <c r="AI75" s="46" t="str">
        <f t="shared" ref="AI75:AI138" ca="1" si="69">IF(AG75="Verlust",AH75,IF(AG75="Total",BR75,IF(AND(AF76=0,AF75&gt;0),BT75,IF(AND(AF75&gt;0,AF76&gt;0),"",IF(AF75&gt;0,0,"")))))</f>
        <v/>
      </c>
      <c r="AJ75" s="46"/>
      <c r="AK75" s="147">
        <f t="shared" ref="AK75:AK138" ca="1" si="70">IF(OR(AK74+0.7&gt;AL74,AQ75=""),AK74+0.0001,ROUND(AK74+1,0))</f>
        <v>2.0059000000000125</v>
      </c>
      <c r="AL75" s="147">
        <f t="shared" ref="AL75:AL138" si="71">IF(OR(AM75="",AM75=0,AM76&lt;&gt;0),AL74+0.0001,ROUND(AL74+1,0))</f>
        <v>2.0062000000000131</v>
      </c>
      <c r="AM75" s="12" t="str">
        <f>IF(V75&lt;=AO$3,VLOOKUP(V75,Kontenplan!$A$9:$D$278,4),"")</f>
        <v/>
      </c>
      <c r="AN75" s="12">
        <f t="shared" ref="AN75:AN138" si="72">VLOOKUP(V75,$O$7:$S$276,5)</f>
        <v>0</v>
      </c>
      <c r="AO75" s="12" t="str">
        <f t="shared" ref="AO75:AO138" ca="1" si="73">IF($AO$4+1=V75,C$280,IF($AO$4+2=V75,"Total",IF(VLOOKUP(V75,$O$7:$T$276,6)=0,"",(VLOOKUP(V75,$O$7:$T$276,6)))))</f>
        <v/>
      </c>
      <c r="AP75" s="46" t="str">
        <f t="shared" ref="AP75:AP138" ca="1" si="74">IF($H$284=0,0,IF(AO$4+2=V75,"c",IF(AO75="Verlust",H$280,IF(AO$4+2&lt;V75,"",VLOOKUP(V75,$O$7:$U$276,7)))))</f>
        <v/>
      </c>
      <c r="AQ75" s="46" t="str">
        <f t="shared" ref="AQ75:AQ138" ca="1" si="75">IF(AO75="Verlust",AP75,IF(AO75="Total",BF75,IF(AND(AN76=0,AN75&gt;0),BH75,IF(AND(AN75&gt;0,AN76&gt;0),"",IF(AN75&gt;0,0,"")))))</f>
        <v/>
      </c>
      <c r="AR75" s="46"/>
      <c r="AS75" s="147">
        <f t="shared" ref="AS75:AS138" ca="1" si="76">IF(AW75="Gewinn",ROUND(AS74+1,0),IF(OR(AS74+0.7&gt;AT74,AY75=""),AS74+0.0001,ROUND(AS74+1,0)))</f>
        <v>3.0058000000000122</v>
      </c>
      <c r="AT75" s="147">
        <f t="shared" ref="AT75:AT138" si="77">IF(OR(AU75="",AU75=0,AU76&lt;&gt;0),AT74+0.0001,ROUND(AT74+1,0))</f>
        <v>2.0063000000000133</v>
      </c>
      <c r="AU75" s="47" t="str">
        <f>IF(V75&lt;=AW$3,VLOOKUP(AO$3+V75,Kontenplan!$A$9:$D$278,4),"")</f>
        <v/>
      </c>
      <c r="AV75" s="12">
        <f t="shared" ref="AV75:AV138" si="78">VLOOKUP(V75,$P$7:$S$276,4)</f>
        <v>0</v>
      </c>
      <c r="AW75" s="12" t="str">
        <f t="shared" ref="AW75:AW138" ca="1" si="79">IF($AO$4+1=V75,C$280,IF($AO$4+2=V75,"Total",IF(VLOOKUP(V75,$P$7:$T$276,5)=0,"",(VLOOKUP(V75,$P$7:$T$276,5)))))</f>
        <v/>
      </c>
      <c r="AX75" s="46" t="str">
        <f t="shared" ca="1" si="47"/>
        <v/>
      </c>
      <c r="AY75" s="46" t="str">
        <f t="shared" ref="AY75:AY138" ca="1" si="80">IF(AW75="Gewinn",AX75,IF(AW75="Total",BJ75,IF(AND(AV76=0,AV75&gt;0),BL75,IF(AND(AV75&gt;0,AV76&gt;0),"",IF(AV75&gt;0,0,"")))))</f>
        <v/>
      </c>
      <c r="BA75" s="12">
        <f>Kontenplan!R77</f>
        <v>3</v>
      </c>
      <c r="BB75" s="12">
        <f>Kontenplan!S77</f>
        <v>2</v>
      </c>
      <c r="BC75" s="12">
        <f>Kontenplan!T77</f>
        <v>4</v>
      </c>
      <c r="BD75" s="170">
        <f>Kontenplan!U77</f>
        <v>3</v>
      </c>
      <c r="BF75" s="24">
        <f ca="1">SUM(AP$7:AP75)</f>
        <v>0</v>
      </c>
      <c r="BG75" s="46">
        <f ca="1">SUM(AQ$7:AQ74)</f>
        <v>0</v>
      </c>
      <c r="BH75" s="24">
        <f t="shared" ref="BH75:BH138" ca="1" si="81">BF75-BG75</f>
        <v>0</v>
      </c>
      <c r="BI75" s="24"/>
      <c r="BJ75" s="24">
        <f ca="1">SUM(AX$7:AX75)</f>
        <v>0</v>
      </c>
      <c r="BK75" s="24">
        <f ca="1">SUM(AY$7:AY74)</f>
        <v>0</v>
      </c>
      <c r="BL75" s="24">
        <f t="shared" ref="BL75:BL138" ca="1" si="82">BJ75-BK75</f>
        <v>0</v>
      </c>
      <c r="BN75" s="24">
        <f ca="1">SUM(AB$7:AB75)</f>
        <v>0</v>
      </c>
      <c r="BO75" s="46">
        <f ca="1">SUM(AC$7:AC74)</f>
        <v>0</v>
      </c>
      <c r="BP75" s="24">
        <f t="shared" ref="BP75:BP138" ca="1" si="83">BN75-BO75</f>
        <v>0</v>
      </c>
      <c r="BR75" s="24">
        <f ca="1">SUM(AH$7:AH75)</f>
        <v>0</v>
      </c>
      <c r="BS75" s="46">
        <f ca="1">SUM(AI$7:AI74)</f>
        <v>0</v>
      </c>
      <c r="BT75" s="24">
        <f t="shared" ref="BT75:BT138" ca="1" si="84">BR75-BS75</f>
        <v>0</v>
      </c>
    </row>
    <row r="76" spans="1:72" s="12" customFormat="1">
      <c r="A76" s="202" t="str">
        <f>Kontenplan!C78</f>
        <v>Ertragskonto</v>
      </c>
      <c r="B76" s="224">
        <f>Kontenplan!E78</f>
        <v>6050</v>
      </c>
      <c r="C76" s="225" t="str">
        <f>Kontenplan!F78</f>
        <v>NK-Rückzhgen: Partei 5</v>
      </c>
      <c r="D76" s="43">
        <f>IF(B76=0,0,SUMIF(Journal!$F$7:$F$83,Calc!B76,Journal!$I$7:$I$83))</f>
        <v>0</v>
      </c>
      <c r="E76" s="15">
        <f ca="1">IF(B76=0,0,SUMIF(Journal!$G$7:$M150,Calc!B76,Journal!$I$7:$I$83))</f>
        <v>0</v>
      </c>
      <c r="F76" s="44">
        <f t="shared" ca="1" si="48"/>
        <v>0</v>
      </c>
      <c r="G76" s="15">
        <f t="shared" ca="1" si="49"/>
        <v>0</v>
      </c>
      <c r="H76" s="14" t="str">
        <f t="shared" ca="1" si="50"/>
        <v xml:space="preserve"> </v>
      </c>
      <c r="I76" s="43" t="str">
        <f t="shared" ca="1" si="51"/>
        <v xml:space="preserve"> </v>
      </c>
      <c r="J76" s="45" t="str">
        <f t="shared" ca="1" si="52"/>
        <v xml:space="preserve"> </v>
      </c>
      <c r="K76" s="48" t="str">
        <f t="shared" ca="1" si="53"/>
        <v xml:space="preserve"> </v>
      </c>
      <c r="L76" s="45" t="str">
        <f t="shared" ca="1" si="54"/>
        <v xml:space="preserve"> </v>
      </c>
      <c r="M76" s="48" t="str">
        <f t="shared" ca="1" si="55"/>
        <v xml:space="preserve"> </v>
      </c>
      <c r="N76" s="24"/>
      <c r="O76" s="12">
        <f t="shared" si="56"/>
        <v>10.011999999999972</v>
      </c>
      <c r="P76" s="12">
        <f t="shared" si="57"/>
        <v>9.0101999999999762</v>
      </c>
      <c r="Q76" s="12">
        <f t="shared" si="58"/>
        <v>31.003999999999991</v>
      </c>
      <c r="R76" s="12">
        <f t="shared" si="59"/>
        <v>20</v>
      </c>
      <c r="S76" s="12">
        <f t="shared" si="60"/>
        <v>6050</v>
      </c>
      <c r="T76" s="12" t="str">
        <f t="shared" si="61"/>
        <v>NK-Rückzhgen: Partei 5</v>
      </c>
      <c r="U76" s="43">
        <f ca="1">IF(OR(A76=Kontenplan!$C$3,A76=Kontenplan!$C$5),F76-G76,G76-F76)</f>
        <v>0</v>
      </c>
      <c r="V76" s="171">
        <f t="shared" si="44"/>
        <v>70</v>
      </c>
      <c r="W76" s="12">
        <f t="shared" si="45"/>
        <v>43</v>
      </c>
      <c r="X76" s="12">
        <f t="shared" si="46"/>
        <v>45</v>
      </c>
      <c r="Y76" s="12">
        <f>IF(Z76=0,VLOOKUP(W76,Kontenplan!$Y$9:$AA$551,3),"")</f>
        <v>0</v>
      </c>
      <c r="Z76" s="12">
        <f t="shared" si="62"/>
        <v>0</v>
      </c>
      <c r="AA76" s="12" t="str">
        <f t="shared" ca="1" si="63"/>
        <v/>
      </c>
      <c r="AB76" s="46" t="str">
        <f t="shared" ca="1" si="64"/>
        <v/>
      </c>
      <c r="AC76" s="46" t="str">
        <f t="shared" ca="1" si="65"/>
        <v/>
      </c>
      <c r="AD76" s="47"/>
      <c r="AE76" s="12">
        <f>IF(AF76=0,VLOOKUP(X76,Kontenplan!$Z$9:$AB$551,3),"")</f>
        <v>0</v>
      </c>
      <c r="AF76" s="47">
        <f t="shared" si="66"/>
        <v>0</v>
      </c>
      <c r="AG76" s="12" t="str">
        <f t="shared" ca="1" si="67"/>
        <v/>
      </c>
      <c r="AH76" s="46" t="str">
        <f t="shared" ca="1" si="68"/>
        <v/>
      </c>
      <c r="AI76" s="46" t="str">
        <f t="shared" ca="1" si="69"/>
        <v/>
      </c>
      <c r="AJ76" s="46"/>
      <c r="AK76" s="147">
        <f t="shared" ca="1" si="70"/>
        <v>2.0060000000000127</v>
      </c>
      <c r="AL76" s="147">
        <f t="shared" si="71"/>
        <v>2.0063000000000133</v>
      </c>
      <c r="AM76" s="12" t="str">
        <f>IF(V76&lt;=AO$3,VLOOKUP(V76,Kontenplan!$A$9:$D$278,4),"")</f>
        <v/>
      </c>
      <c r="AN76" s="12">
        <f t="shared" si="72"/>
        <v>0</v>
      </c>
      <c r="AO76" s="12" t="str">
        <f t="shared" ca="1" si="73"/>
        <v/>
      </c>
      <c r="AP76" s="46" t="str">
        <f t="shared" ca="1" si="74"/>
        <v/>
      </c>
      <c r="AQ76" s="46" t="str">
        <f t="shared" ca="1" si="75"/>
        <v/>
      </c>
      <c r="AR76" s="46"/>
      <c r="AS76" s="147">
        <f t="shared" ca="1" si="76"/>
        <v>3.0059000000000125</v>
      </c>
      <c r="AT76" s="147">
        <f t="shared" si="77"/>
        <v>2.0064000000000135</v>
      </c>
      <c r="AU76" s="47" t="str">
        <f>IF(V76&lt;=AW$3,VLOOKUP(AO$3+V76,Kontenplan!$A$9:$D$278,4),"")</f>
        <v/>
      </c>
      <c r="AV76" s="12">
        <f t="shared" si="78"/>
        <v>0</v>
      </c>
      <c r="AW76" s="12" t="str">
        <f t="shared" ca="1" si="79"/>
        <v/>
      </c>
      <c r="AX76" s="46" t="str">
        <f t="shared" ca="1" si="47"/>
        <v/>
      </c>
      <c r="AY76" s="46" t="str">
        <f t="shared" ca="1" si="80"/>
        <v/>
      </c>
      <c r="BA76" s="12">
        <f>Kontenplan!R78</f>
        <v>3</v>
      </c>
      <c r="BB76" s="12">
        <f>Kontenplan!S78</f>
        <v>2</v>
      </c>
      <c r="BC76" s="12">
        <f>Kontenplan!T78</f>
        <v>4</v>
      </c>
      <c r="BD76" s="170">
        <f>Kontenplan!U78</f>
        <v>3</v>
      </c>
      <c r="BF76" s="24">
        <f ca="1">SUM(AP$7:AP76)</f>
        <v>0</v>
      </c>
      <c r="BG76" s="46">
        <f ca="1">SUM(AQ$7:AQ75)</f>
        <v>0</v>
      </c>
      <c r="BH76" s="24">
        <f t="shared" ca="1" si="81"/>
        <v>0</v>
      </c>
      <c r="BI76" s="24"/>
      <c r="BJ76" s="24">
        <f ca="1">SUM(AX$7:AX76)</f>
        <v>0</v>
      </c>
      <c r="BK76" s="24">
        <f ca="1">SUM(AY$7:AY75)</f>
        <v>0</v>
      </c>
      <c r="BL76" s="24">
        <f t="shared" ca="1" si="82"/>
        <v>0</v>
      </c>
      <c r="BN76" s="24">
        <f ca="1">SUM(AB$7:AB76)</f>
        <v>0</v>
      </c>
      <c r="BO76" s="46">
        <f ca="1">SUM(AC$7:AC75)</f>
        <v>0</v>
      </c>
      <c r="BP76" s="24">
        <f t="shared" ca="1" si="83"/>
        <v>0</v>
      </c>
      <c r="BR76" s="24">
        <f ca="1">SUM(AH$7:AH76)</f>
        <v>0</v>
      </c>
      <c r="BS76" s="46">
        <f ca="1">SUM(AI$7:AI75)</f>
        <v>0</v>
      </c>
      <c r="BT76" s="24">
        <f t="shared" ca="1" si="84"/>
        <v>0</v>
      </c>
    </row>
    <row r="77" spans="1:72" s="12" customFormat="1">
      <c r="A77" s="202" t="str">
        <f>Kontenplan!C79</f>
        <v>Ertragskonto</v>
      </c>
      <c r="B77" s="224">
        <f>Kontenplan!E79</f>
        <v>6060</v>
      </c>
      <c r="C77" s="225" t="str">
        <f>Kontenplan!F79</f>
        <v>NK-Rückzhgen: Partei 6</v>
      </c>
      <c r="D77" s="43">
        <f>IF(B77=0,0,SUMIF(Journal!$F$7:$F$83,Calc!B77,Journal!$I$7:$I$83))</f>
        <v>0</v>
      </c>
      <c r="E77" s="15">
        <f ca="1">IF(B77=0,0,SUMIF(Journal!$G$7:$M151,Calc!B77,Journal!$I$7:$I$83))</f>
        <v>0</v>
      </c>
      <c r="F77" s="44">
        <f t="shared" ca="1" si="48"/>
        <v>0</v>
      </c>
      <c r="G77" s="15">
        <f t="shared" ca="1" si="49"/>
        <v>0</v>
      </c>
      <c r="H77" s="14" t="str">
        <f t="shared" ca="1" si="50"/>
        <v xml:space="preserve"> </v>
      </c>
      <c r="I77" s="43" t="str">
        <f t="shared" ca="1" si="51"/>
        <v xml:space="preserve"> </v>
      </c>
      <c r="J77" s="45" t="str">
        <f t="shared" ca="1" si="52"/>
        <v xml:space="preserve"> </v>
      </c>
      <c r="K77" s="48" t="str">
        <f t="shared" ca="1" si="53"/>
        <v xml:space="preserve"> </v>
      </c>
      <c r="L77" s="45" t="str">
        <f t="shared" ca="1" si="54"/>
        <v xml:space="preserve"> </v>
      </c>
      <c r="M77" s="48" t="str">
        <f t="shared" ca="1" si="55"/>
        <v xml:space="preserve"> </v>
      </c>
      <c r="N77" s="24"/>
      <c r="O77" s="12">
        <f t="shared" si="56"/>
        <v>10.012199999999972</v>
      </c>
      <c r="P77" s="12">
        <f t="shared" si="57"/>
        <v>9.0103999999999758</v>
      </c>
      <c r="Q77" s="12">
        <f t="shared" si="58"/>
        <v>31.00419999999999</v>
      </c>
      <c r="R77" s="12">
        <f t="shared" si="59"/>
        <v>21</v>
      </c>
      <c r="S77" s="12">
        <f t="shared" si="60"/>
        <v>6060</v>
      </c>
      <c r="T77" s="12" t="str">
        <f t="shared" si="61"/>
        <v>NK-Rückzhgen: Partei 6</v>
      </c>
      <c r="U77" s="43">
        <f ca="1">IF(OR(A77=Kontenplan!$C$3,A77=Kontenplan!$C$5),F77-G77,G77-F77)</f>
        <v>0</v>
      </c>
      <c r="V77" s="171">
        <f t="shared" si="44"/>
        <v>71</v>
      </c>
      <c r="W77" s="12">
        <f t="shared" si="45"/>
        <v>44</v>
      </c>
      <c r="X77" s="12">
        <f t="shared" si="46"/>
        <v>46</v>
      </c>
      <c r="Y77" s="12">
        <f>IF(Z77=0,VLOOKUP(W77,Kontenplan!$Y$9:$AA$551,3),"")</f>
        <v>0</v>
      </c>
      <c r="Z77" s="12">
        <f t="shared" si="62"/>
        <v>0</v>
      </c>
      <c r="AA77" s="12" t="str">
        <f t="shared" ca="1" si="63"/>
        <v/>
      </c>
      <c r="AB77" s="46" t="str">
        <f t="shared" ca="1" si="64"/>
        <v/>
      </c>
      <c r="AC77" s="46" t="str">
        <f t="shared" ca="1" si="65"/>
        <v/>
      </c>
      <c r="AD77" s="47"/>
      <c r="AE77" s="12">
        <f>IF(AF77=0,VLOOKUP(X77,Kontenplan!$Z$9:$AB$551,3),"")</f>
        <v>0</v>
      </c>
      <c r="AF77" s="47">
        <f t="shared" si="66"/>
        <v>0</v>
      </c>
      <c r="AG77" s="12" t="str">
        <f t="shared" ca="1" si="67"/>
        <v/>
      </c>
      <c r="AH77" s="46" t="str">
        <f t="shared" ca="1" si="68"/>
        <v/>
      </c>
      <c r="AI77" s="46" t="str">
        <f t="shared" ca="1" si="69"/>
        <v/>
      </c>
      <c r="AJ77" s="46"/>
      <c r="AK77" s="147">
        <f t="shared" ca="1" si="70"/>
        <v>2.0061000000000129</v>
      </c>
      <c r="AL77" s="147">
        <f t="shared" si="71"/>
        <v>2.0064000000000135</v>
      </c>
      <c r="AM77" s="12" t="str">
        <f>IF(V77&lt;=AO$3,VLOOKUP(V77,Kontenplan!$A$9:$D$278,4),"")</f>
        <v/>
      </c>
      <c r="AN77" s="12">
        <f t="shared" si="72"/>
        <v>0</v>
      </c>
      <c r="AO77" s="12" t="str">
        <f t="shared" ca="1" si="73"/>
        <v/>
      </c>
      <c r="AP77" s="46" t="str">
        <f t="shared" ca="1" si="74"/>
        <v/>
      </c>
      <c r="AQ77" s="46" t="str">
        <f t="shared" ca="1" si="75"/>
        <v/>
      </c>
      <c r="AR77" s="46"/>
      <c r="AS77" s="147">
        <f t="shared" ca="1" si="76"/>
        <v>3.0060000000000127</v>
      </c>
      <c r="AT77" s="147">
        <f t="shared" si="77"/>
        <v>2.0065000000000137</v>
      </c>
      <c r="AU77" s="47" t="str">
        <f>IF(V77&lt;=AW$3,VLOOKUP(AO$3+V77,Kontenplan!$A$9:$D$278,4),"")</f>
        <v/>
      </c>
      <c r="AV77" s="12">
        <f t="shared" si="78"/>
        <v>0</v>
      </c>
      <c r="AW77" s="12" t="str">
        <f t="shared" ca="1" si="79"/>
        <v/>
      </c>
      <c r="AX77" s="46" t="str">
        <f t="shared" ca="1" si="47"/>
        <v/>
      </c>
      <c r="AY77" s="46" t="str">
        <f t="shared" ca="1" si="80"/>
        <v/>
      </c>
      <c r="BA77" s="12">
        <f>Kontenplan!R79</f>
        <v>3</v>
      </c>
      <c r="BB77" s="12">
        <f>Kontenplan!S79</f>
        <v>2</v>
      </c>
      <c r="BC77" s="12">
        <f>Kontenplan!T79</f>
        <v>4</v>
      </c>
      <c r="BD77" s="170">
        <f>Kontenplan!U79</f>
        <v>3</v>
      </c>
      <c r="BF77" s="24">
        <f ca="1">SUM(AP$7:AP77)</f>
        <v>0</v>
      </c>
      <c r="BG77" s="46">
        <f ca="1">SUM(AQ$7:AQ76)</f>
        <v>0</v>
      </c>
      <c r="BH77" s="24">
        <f t="shared" ca="1" si="81"/>
        <v>0</v>
      </c>
      <c r="BI77" s="24"/>
      <c r="BJ77" s="24">
        <f ca="1">SUM(AX$7:AX77)</f>
        <v>0</v>
      </c>
      <c r="BK77" s="24">
        <f ca="1">SUM(AY$7:AY76)</f>
        <v>0</v>
      </c>
      <c r="BL77" s="24">
        <f t="shared" ca="1" si="82"/>
        <v>0</v>
      </c>
      <c r="BN77" s="24">
        <f ca="1">SUM(AB$7:AB77)</f>
        <v>0</v>
      </c>
      <c r="BO77" s="46">
        <f ca="1">SUM(AC$7:AC76)</f>
        <v>0</v>
      </c>
      <c r="BP77" s="24">
        <f t="shared" ca="1" si="83"/>
        <v>0</v>
      </c>
      <c r="BR77" s="24">
        <f ca="1">SUM(AH$7:AH77)</f>
        <v>0</v>
      </c>
      <c r="BS77" s="46">
        <f ca="1">SUM(AI$7:AI76)</f>
        <v>0</v>
      </c>
      <c r="BT77" s="24">
        <f t="shared" ca="1" si="84"/>
        <v>0</v>
      </c>
    </row>
    <row r="78" spans="1:72" s="12" customFormat="1">
      <c r="A78" s="202" t="str">
        <f>Kontenplan!C80</f>
        <v>Ertragskonto</v>
      </c>
      <c r="B78" s="224">
        <f>Kontenplan!E80</f>
        <v>6070</v>
      </c>
      <c r="C78" s="225" t="str">
        <f>Kontenplan!F80</f>
        <v>NK-Rückzhgen: Partei 7</v>
      </c>
      <c r="D78" s="43">
        <f>IF(B78=0,0,SUMIF(Journal!$F$7:$F$83,Calc!B78,Journal!$I$7:$I$83))</f>
        <v>0</v>
      </c>
      <c r="E78" s="15">
        <f ca="1">IF(B78=0,0,SUMIF(Journal!$G$7:$M152,Calc!B78,Journal!$I$7:$I$83))</f>
        <v>0</v>
      </c>
      <c r="F78" s="44">
        <f t="shared" ca="1" si="48"/>
        <v>0</v>
      </c>
      <c r="G78" s="15">
        <f t="shared" ca="1" si="49"/>
        <v>0</v>
      </c>
      <c r="H78" s="14" t="str">
        <f t="shared" ca="1" si="50"/>
        <v xml:space="preserve"> </v>
      </c>
      <c r="I78" s="43" t="str">
        <f t="shared" ca="1" si="51"/>
        <v xml:space="preserve"> </v>
      </c>
      <c r="J78" s="45" t="str">
        <f t="shared" ca="1" si="52"/>
        <v xml:space="preserve"> </v>
      </c>
      <c r="K78" s="48" t="str">
        <f t="shared" ca="1" si="53"/>
        <v xml:space="preserve"> </v>
      </c>
      <c r="L78" s="45" t="str">
        <f t="shared" ca="1" si="54"/>
        <v xml:space="preserve"> </v>
      </c>
      <c r="M78" s="48" t="str">
        <f t="shared" ca="1" si="55"/>
        <v xml:space="preserve"> </v>
      </c>
      <c r="N78" s="24"/>
      <c r="O78" s="12">
        <f t="shared" si="56"/>
        <v>10.012399999999971</v>
      </c>
      <c r="P78" s="12">
        <f t="shared" si="57"/>
        <v>9.0105999999999753</v>
      </c>
      <c r="Q78" s="12">
        <f t="shared" si="58"/>
        <v>31.00439999999999</v>
      </c>
      <c r="R78" s="12">
        <f t="shared" si="59"/>
        <v>22</v>
      </c>
      <c r="S78" s="12">
        <f t="shared" si="60"/>
        <v>6070</v>
      </c>
      <c r="T78" s="12" t="str">
        <f t="shared" si="61"/>
        <v>NK-Rückzhgen: Partei 7</v>
      </c>
      <c r="U78" s="43">
        <f ca="1">IF(OR(A78=Kontenplan!$C$3,A78=Kontenplan!$C$5),F78-G78,G78-F78)</f>
        <v>0</v>
      </c>
      <c r="V78" s="171">
        <f t="shared" si="44"/>
        <v>72</v>
      </c>
      <c r="W78" s="12">
        <f t="shared" si="45"/>
        <v>45</v>
      </c>
      <c r="X78" s="12">
        <f t="shared" si="46"/>
        <v>47</v>
      </c>
      <c r="Y78" s="12">
        <f>IF(Z78=0,VLOOKUP(W78,Kontenplan!$Y$9:$AA$551,3),"")</f>
        <v>0</v>
      </c>
      <c r="Z78" s="12">
        <f t="shared" si="62"/>
        <v>0</v>
      </c>
      <c r="AA78" s="12" t="str">
        <f t="shared" ca="1" si="63"/>
        <v/>
      </c>
      <c r="AB78" s="46" t="str">
        <f t="shared" ca="1" si="64"/>
        <v/>
      </c>
      <c r="AC78" s="46" t="str">
        <f t="shared" ca="1" si="65"/>
        <v/>
      </c>
      <c r="AD78" s="47"/>
      <c r="AE78" s="12">
        <f>IF(AF78=0,VLOOKUP(X78,Kontenplan!$Z$9:$AB$551,3),"")</f>
        <v>0</v>
      </c>
      <c r="AF78" s="47">
        <f t="shared" si="66"/>
        <v>0</v>
      </c>
      <c r="AG78" s="12" t="str">
        <f t="shared" ca="1" si="67"/>
        <v/>
      </c>
      <c r="AH78" s="46" t="str">
        <f t="shared" ca="1" si="68"/>
        <v/>
      </c>
      <c r="AI78" s="46" t="str">
        <f t="shared" ca="1" si="69"/>
        <v/>
      </c>
      <c r="AJ78" s="46"/>
      <c r="AK78" s="147">
        <f t="shared" ca="1" si="70"/>
        <v>2.0062000000000131</v>
      </c>
      <c r="AL78" s="147">
        <f t="shared" si="71"/>
        <v>2.0065000000000137</v>
      </c>
      <c r="AM78" s="12" t="str">
        <f>IF(V78&lt;=AO$3,VLOOKUP(V78,Kontenplan!$A$9:$D$278,4),"")</f>
        <v/>
      </c>
      <c r="AN78" s="12">
        <f t="shared" si="72"/>
        <v>0</v>
      </c>
      <c r="AO78" s="12" t="str">
        <f t="shared" ca="1" si="73"/>
        <v/>
      </c>
      <c r="AP78" s="46" t="str">
        <f t="shared" ca="1" si="74"/>
        <v/>
      </c>
      <c r="AQ78" s="46" t="str">
        <f t="shared" ca="1" si="75"/>
        <v/>
      </c>
      <c r="AR78" s="46"/>
      <c r="AS78" s="147">
        <f t="shared" ca="1" si="76"/>
        <v>3.0061000000000129</v>
      </c>
      <c r="AT78" s="147">
        <f t="shared" si="77"/>
        <v>2.0066000000000139</v>
      </c>
      <c r="AU78" s="47" t="str">
        <f>IF(V78&lt;=AW$3,VLOOKUP(AO$3+V78,Kontenplan!$A$9:$D$278,4),"")</f>
        <v/>
      </c>
      <c r="AV78" s="12">
        <f t="shared" si="78"/>
        <v>0</v>
      </c>
      <c r="AW78" s="12" t="str">
        <f t="shared" ca="1" si="79"/>
        <v/>
      </c>
      <c r="AX78" s="46" t="str">
        <f t="shared" ca="1" si="47"/>
        <v/>
      </c>
      <c r="AY78" s="46" t="str">
        <f t="shared" ca="1" si="80"/>
        <v/>
      </c>
      <c r="BA78" s="12">
        <f>Kontenplan!R80</f>
        <v>3</v>
      </c>
      <c r="BB78" s="12">
        <f>Kontenplan!S80</f>
        <v>2</v>
      </c>
      <c r="BC78" s="12">
        <f>Kontenplan!T80</f>
        <v>4</v>
      </c>
      <c r="BD78" s="170">
        <f>Kontenplan!U80</f>
        <v>3</v>
      </c>
      <c r="BF78" s="24">
        <f ca="1">SUM(AP$7:AP78)</f>
        <v>0</v>
      </c>
      <c r="BG78" s="46">
        <f ca="1">SUM(AQ$7:AQ77)</f>
        <v>0</v>
      </c>
      <c r="BH78" s="24">
        <f t="shared" ca="1" si="81"/>
        <v>0</v>
      </c>
      <c r="BI78" s="24"/>
      <c r="BJ78" s="24">
        <f ca="1">SUM(AX$7:AX78)</f>
        <v>0</v>
      </c>
      <c r="BK78" s="24">
        <f ca="1">SUM(AY$7:AY77)</f>
        <v>0</v>
      </c>
      <c r="BL78" s="24">
        <f t="shared" ca="1" si="82"/>
        <v>0</v>
      </c>
      <c r="BN78" s="24">
        <f ca="1">SUM(AB$7:AB78)</f>
        <v>0</v>
      </c>
      <c r="BO78" s="46">
        <f ca="1">SUM(AC$7:AC77)</f>
        <v>0</v>
      </c>
      <c r="BP78" s="24">
        <f t="shared" ca="1" si="83"/>
        <v>0</v>
      </c>
      <c r="BR78" s="24">
        <f ca="1">SUM(AH$7:AH78)</f>
        <v>0</v>
      </c>
      <c r="BS78" s="46">
        <f ca="1">SUM(AI$7:AI77)</f>
        <v>0</v>
      </c>
      <c r="BT78" s="24">
        <f t="shared" ca="1" si="84"/>
        <v>0</v>
      </c>
    </row>
    <row r="79" spans="1:72" s="12" customFormat="1">
      <c r="A79" s="202" t="str">
        <f>Kontenplan!C81</f>
        <v>Ertragskonto</v>
      </c>
      <c r="B79" s="224">
        <f>Kontenplan!E81</f>
        <v>6080</v>
      </c>
      <c r="C79" s="225" t="str">
        <f>Kontenplan!F81</f>
        <v>NK-Rückzhgen: Partei 8</v>
      </c>
      <c r="D79" s="43">
        <f>IF(B79=0,0,SUMIF(Journal!$F$7:$F$83,Calc!B79,Journal!$I$7:$I$83))</f>
        <v>0</v>
      </c>
      <c r="E79" s="15">
        <f ca="1">IF(B79=0,0,SUMIF(Journal!$G$7:$M153,Calc!B79,Journal!$I$7:$I$83))</f>
        <v>0</v>
      </c>
      <c r="F79" s="44">
        <f t="shared" ca="1" si="48"/>
        <v>0</v>
      </c>
      <c r="G79" s="15">
        <f t="shared" ca="1" si="49"/>
        <v>0</v>
      </c>
      <c r="H79" s="14" t="str">
        <f t="shared" ca="1" si="50"/>
        <v xml:space="preserve"> </v>
      </c>
      <c r="I79" s="43" t="str">
        <f t="shared" ca="1" si="51"/>
        <v xml:space="preserve"> </v>
      </c>
      <c r="J79" s="45" t="str">
        <f t="shared" ca="1" si="52"/>
        <v xml:space="preserve"> </v>
      </c>
      <c r="K79" s="48" t="str">
        <f t="shared" ca="1" si="53"/>
        <v xml:space="preserve"> </v>
      </c>
      <c r="L79" s="45" t="str">
        <f t="shared" ca="1" si="54"/>
        <v xml:space="preserve"> </v>
      </c>
      <c r="M79" s="48" t="str">
        <f t="shared" ca="1" si="55"/>
        <v xml:space="preserve"> </v>
      </c>
      <c r="N79" s="24"/>
      <c r="O79" s="12">
        <f t="shared" si="56"/>
        <v>10.012599999999971</v>
      </c>
      <c r="P79" s="12">
        <f t="shared" si="57"/>
        <v>9.0107999999999748</v>
      </c>
      <c r="Q79" s="12">
        <f t="shared" si="58"/>
        <v>31.004599999999989</v>
      </c>
      <c r="R79" s="12">
        <f t="shared" si="59"/>
        <v>23</v>
      </c>
      <c r="S79" s="12">
        <f t="shared" si="60"/>
        <v>6080</v>
      </c>
      <c r="T79" s="12" t="str">
        <f t="shared" si="61"/>
        <v>NK-Rückzhgen: Partei 8</v>
      </c>
      <c r="U79" s="43">
        <f ca="1">IF(OR(A79=Kontenplan!$C$3,A79=Kontenplan!$C$5),F79-G79,G79-F79)</f>
        <v>0</v>
      </c>
      <c r="V79" s="171">
        <f t="shared" si="44"/>
        <v>73</v>
      </c>
      <c r="W79" s="12">
        <f t="shared" si="45"/>
        <v>46</v>
      </c>
      <c r="X79" s="12">
        <f t="shared" si="46"/>
        <v>48</v>
      </c>
      <c r="Y79" s="12">
        <f>IF(Z79=0,VLOOKUP(W79,Kontenplan!$Y$9:$AA$551,3),"")</f>
        <v>0</v>
      </c>
      <c r="Z79" s="12">
        <f t="shared" si="62"/>
        <v>0</v>
      </c>
      <c r="AA79" s="12" t="str">
        <f t="shared" ca="1" si="63"/>
        <v/>
      </c>
      <c r="AB79" s="46" t="str">
        <f t="shared" ca="1" si="64"/>
        <v/>
      </c>
      <c r="AC79" s="46" t="str">
        <f t="shared" ca="1" si="65"/>
        <v/>
      </c>
      <c r="AD79" s="47"/>
      <c r="AE79" s="12">
        <f>IF(AF79=0,VLOOKUP(X79,Kontenplan!$Z$9:$AB$551,3),"")</f>
        <v>0</v>
      </c>
      <c r="AF79" s="47">
        <f t="shared" si="66"/>
        <v>0</v>
      </c>
      <c r="AG79" s="12" t="str">
        <f t="shared" ca="1" si="67"/>
        <v/>
      </c>
      <c r="AH79" s="46" t="str">
        <f t="shared" ca="1" si="68"/>
        <v/>
      </c>
      <c r="AI79" s="46" t="str">
        <f t="shared" ca="1" si="69"/>
        <v/>
      </c>
      <c r="AJ79" s="46"/>
      <c r="AK79" s="147">
        <f t="shared" ca="1" si="70"/>
        <v>2.0063000000000133</v>
      </c>
      <c r="AL79" s="147">
        <f t="shared" si="71"/>
        <v>2.0066000000000139</v>
      </c>
      <c r="AM79" s="12" t="str">
        <f>IF(V79&lt;=AO$3,VLOOKUP(V79,Kontenplan!$A$9:$D$278,4),"")</f>
        <v/>
      </c>
      <c r="AN79" s="12">
        <f t="shared" si="72"/>
        <v>0</v>
      </c>
      <c r="AO79" s="12" t="str">
        <f t="shared" ca="1" si="73"/>
        <v/>
      </c>
      <c r="AP79" s="46" t="str">
        <f t="shared" ca="1" si="74"/>
        <v/>
      </c>
      <c r="AQ79" s="46" t="str">
        <f t="shared" ca="1" si="75"/>
        <v/>
      </c>
      <c r="AR79" s="46"/>
      <c r="AS79" s="147">
        <f t="shared" ca="1" si="76"/>
        <v>3.0062000000000131</v>
      </c>
      <c r="AT79" s="147">
        <f t="shared" si="77"/>
        <v>2.0067000000000141</v>
      </c>
      <c r="AU79" s="47" t="str">
        <f>IF(V79&lt;=AW$3,VLOOKUP(AO$3+V79,Kontenplan!$A$9:$D$278,4),"")</f>
        <v/>
      </c>
      <c r="AV79" s="12">
        <f t="shared" si="78"/>
        <v>0</v>
      </c>
      <c r="AW79" s="12" t="str">
        <f t="shared" ca="1" si="79"/>
        <v/>
      </c>
      <c r="AX79" s="46" t="str">
        <f t="shared" ca="1" si="47"/>
        <v/>
      </c>
      <c r="AY79" s="46" t="str">
        <f t="shared" ca="1" si="80"/>
        <v/>
      </c>
      <c r="BA79" s="12">
        <f>Kontenplan!R81</f>
        <v>3</v>
      </c>
      <c r="BB79" s="12">
        <f>Kontenplan!S81</f>
        <v>2</v>
      </c>
      <c r="BC79" s="12">
        <f>Kontenplan!T81</f>
        <v>4</v>
      </c>
      <c r="BD79" s="170">
        <f>Kontenplan!U81</f>
        <v>3</v>
      </c>
      <c r="BF79" s="24">
        <f ca="1">SUM(AP$7:AP79)</f>
        <v>0</v>
      </c>
      <c r="BG79" s="46">
        <f ca="1">SUM(AQ$7:AQ78)</f>
        <v>0</v>
      </c>
      <c r="BH79" s="24">
        <f t="shared" ca="1" si="81"/>
        <v>0</v>
      </c>
      <c r="BI79" s="24"/>
      <c r="BJ79" s="24">
        <f ca="1">SUM(AX$7:AX79)</f>
        <v>0</v>
      </c>
      <c r="BK79" s="24">
        <f ca="1">SUM(AY$7:AY78)</f>
        <v>0</v>
      </c>
      <c r="BL79" s="24">
        <f t="shared" ca="1" si="82"/>
        <v>0</v>
      </c>
      <c r="BN79" s="24">
        <f ca="1">SUM(AB$7:AB79)</f>
        <v>0</v>
      </c>
      <c r="BO79" s="46">
        <f ca="1">SUM(AC$7:AC78)</f>
        <v>0</v>
      </c>
      <c r="BP79" s="24">
        <f t="shared" ca="1" si="83"/>
        <v>0</v>
      </c>
      <c r="BR79" s="24">
        <f ca="1">SUM(AH$7:AH79)</f>
        <v>0</v>
      </c>
      <c r="BS79" s="46">
        <f ca="1">SUM(AI$7:AI78)</f>
        <v>0</v>
      </c>
      <c r="BT79" s="24">
        <f t="shared" ca="1" si="84"/>
        <v>0</v>
      </c>
    </row>
    <row r="80" spans="1:72" s="12" customFormat="1">
      <c r="A80" s="202" t="str">
        <f>Kontenplan!C82</f>
        <v>Ertragskonto</v>
      </c>
      <c r="B80" s="224">
        <f>Kontenplan!E82</f>
        <v>6090</v>
      </c>
      <c r="C80" s="225" t="str">
        <f>Kontenplan!F82</f>
        <v>NK-Rückzhgen: Partei 9</v>
      </c>
      <c r="D80" s="43">
        <f>IF(B80=0,0,SUMIF(Journal!$F$7:$F$83,Calc!B80,Journal!$I$7:$I$83))</f>
        <v>0</v>
      </c>
      <c r="E80" s="15">
        <f ca="1">IF(B80=0,0,SUMIF(Journal!$G$7:$M154,Calc!B80,Journal!$I$7:$I$83))</f>
        <v>0</v>
      </c>
      <c r="F80" s="44">
        <f t="shared" ca="1" si="48"/>
        <v>0</v>
      </c>
      <c r="G80" s="15">
        <f t="shared" ca="1" si="49"/>
        <v>0</v>
      </c>
      <c r="H80" s="14" t="str">
        <f t="shared" ca="1" si="50"/>
        <v xml:space="preserve"> </v>
      </c>
      <c r="I80" s="43" t="str">
        <f t="shared" ca="1" si="51"/>
        <v xml:space="preserve"> </v>
      </c>
      <c r="J80" s="45" t="str">
        <f t="shared" ca="1" si="52"/>
        <v xml:space="preserve"> </v>
      </c>
      <c r="K80" s="48" t="str">
        <f t="shared" ca="1" si="53"/>
        <v xml:space="preserve"> </v>
      </c>
      <c r="L80" s="45" t="str">
        <f t="shared" ca="1" si="54"/>
        <v xml:space="preserve"> </v>
      </c>
      <c r="M80" s="48" t="str">
        <f t="shared" ca="1" si="55"/>
        <v xml:space="preserve"> </v>
      </c>
      <c r="N80" s="24"/>
      <c r="O80" s="12">
        <f t="shared" si="56"/>
        <v>10.01279999999997</v>
      </c>
      <c r="P80" s="12">
        <f t="shared" si="57"/>
        <v>9.0109999999999744</v>
      </c>
      <c r="Q80" s="12">
        <f t="shared" si="58"/>
        <v>31.004799999999989</v>
      </c>
      <c r="R80" s="12">
        <f t="shared" si="59"/>
        <v>24</v>
      </c>
      <c r="S80" s="12">
        <f t="shared" si="60"/>
        <v>6090</v>
      </c>
      <c r="T80" s="12" t="str">
        <f t="shared" si="61"/>
        <v>NK-Rückzhgen: Partei 9</v>
      </c>
      <c r="U80" s="43">
        <f ca="1">IF(OR(A80=Kontenplan!$C$3,A80=Kontenplan!$C$5),F80-G80,G80-F80)</f>
        <v>0</v>
      </c>
      <c r="V80" s="171">
        <f t="shared" si="44"/>
        <v>74</v>
      </c>
      <c r="W80" s="12">
        <f t="shared" si="45"/>
        <v>47</v>
      </c>
      <c r="X80" s="12">
        <f t="shared" si="46"/>
        <v>49</v>
      </c>
      <c r="Y80" s="12">
        <f>IF(Z80=0,VLOOKUP(W80,Kontenplan!$Y$9:$AA$551,3),"")</f>
        <v>0</v>
      </c>
      <c r="Z80" s="12">
        <f t="shared" si="62"/>
        <v>0</v>
      </c>
      <c r="AA80" s="12" t="str">
        <f t="shared" ca="1" si="63"/>
        <v/>
      </c>
      <c r="AB80" s="46" t="str">
        <f t="shared" ca="1" si="64"/>
        <v/>
      </c>
      <c r="AC80" s="46" t="str">
        <f t="shared" ca="1" si="65"/>
        <v/>
      </c>
      <c r="AD80" s="47"/>
      <c r="AE80" s="12">
        <f>IF(AF80=0,VLOOKUP(X80,Kontenplan!$Z$9:$AB$551,3),"")</f>
        <v>0</v>
      </c>
      <c r="AF80" s="47">
        <f t="shared" si="66"/>
        <v>0</v>
      </c>
      <c r="AG80" s="12" t="str">
        <f t="shared" ca="1" si="67"/>
        <v/>
      </c>
      <c r="AH80" s="46" t="str">
        <f t="shared" ca="1" si="68"/>
        <v/>
      </c>
      <c r="AI80" s="46" t="str">
        <f t="shared" ca="1" si="69"/>
        <v/>
      </c>
      <c r="AJ80" s="46"/>
      <c r="AK80" s="147">
        <f t="shared" ca="1" si="70"/>
        <v>2.0064000000000135</v>
      </c>
      <c r="AL80" s="147">
        <f t="shared" si="71"/>
        <v>2.0067000000000141</v>
      </c>
      <c r="AM80" s="12" t="str">
        <f>IF(V80&lt;=AO$3,VLOOKUP(V80,Kontenplan!$A$9:$D$278,4),"")</f>
        <v/>
      </c>
      <c r="AN80" s="12">
        <f t="shared" si="72"/>
        <v>0</v>
      </c>
      <c r="AO80" s="12" t="str">
        <f t="shared" ca="1" si="73"/>
        <v/>
      </c>
      <c r="AP80" s="46" t="str">
        <f t="shared" ca="1" si="74"/>
        <v/>
      </c>
      <c r="AQ80" s="46" t="str">
        <f t="shared" ca="1" si="75"/>
        <v/>
      </c>
      <c r="AR80" s="46"/>
      <c r="AS80" s="147">
        <f t="shared" ca="1" si="76"/>
        <v>3.0063000000000133</v>
      </c>
      <c r="AT80" s="147">
        <f t="shared" si="77"/>
        <v>2.0068000000000144</v>
      </c>
      <c r="AU80" s="47" t="str">
        <f>IF(V80&lt;=AW$3,VLOOKUP(AO$3+V80,Kontenplan!$A$9:$D$278,4),"")</f>
        <v/>
      </c>
      <c r="AV80" s="12">
        <f t="shared" si="78"/>
        <v>0</v>
      </c>
      <c r="AW80" s="12" t="str">
        <f t="shared" ca="1" si="79"/>
        <v/>
      </c>
      <c r="AX80" s="46" t="str">
        <f t="shared" ca="1" si="47"/>
        <v/>
      </c>
      <c r="AY80" s="46" t="str">
        <f t="shared" ca="1" si="80"/>
        <v/>
      </c>
      <c r="BA80" s="12">
        <f>Kontenplan!R82</f>
        <v>3</v>
      </c>
      <c r="BB80" s="12">
        <f>Kontenplan!S82</f>
        <v>2</v>
      </c>
      <c r="BC80" s="12">
        <f>Kontenplan!T82</f>
        <v>4</v>
      </c>
      <c r="BD80" s="170">
        <f>Kontenplan!U82</f>
        <v>3</v>
      </c>
      <c r="BF80" s="24">
        <f ca="1">SUM(AP$7:AP80)</f>
        <v>0</v>
      </c>
      <c r="BG80" s="46">
        <f ca="1">SUM(AQ$7:AQ79)</f>
        <v>0</v>
      </c>
      <c r="BH80" s="24">
        <f t="shared" ca="1" si="81"/>
        <v>0</v>
      </c>
      <c r="BI80" s="24"/>
      <c r="BJ80" s="24">
        <f ca="1">SUM(AX$7:AX80)</f>
        <v>0</v>
      </c>
      <c r="BK80" s="24">
        <f ca="1">SUM(AY$7:AY79)</f>
        <v>0</v>
      </c>
      <c r="BL80" s="24">
        <f t="shared" ca="1" si="82"/>
        <v>0</v>
      </c>
      <c r="BN80" s="24">
        <f ca="1">SUM(AB$7:AB80)</f>
        <v>0</v>
      </c>
      <c r="BO80" s="46">
        <f ca="1">SUM(AC$7:AC79)</f>
        <v>0</v>
      </c>
      <c r="BP80" s="24">
        <f t="shared" ca="1" si="83"/>
        <v>0</v>
      </c>
      <c r="BR80" s="24">
        <f ca="1">SUM(AH$7:AH80)</f>
        <v>0</v>
      </c>
      <c r="BS80" s="46">
        <f ca="1">SUM(AI$7:AI79)</f>
        <v>0</v>
      </c>
      <c r="BT80" s="24">
        <f t="shared" ca="1" si="84"/>
        <v>0</v>
      </c>
    </row>
    <row r="81" spans="1:72" s="12" customFormat="1">
      <c r="A81" s="202" t="str">
        <f>Kontenplan!C83</f>
        <v>Ertragskonto</v>
      </c>
      <c r="B81" s="224">
        <f>Kontenplan!E83</f>
        <v>6100</v>
      </c>
      <c r="C81" s="225" t="str">
        <f>Kontenplan!F83</f>
        <v>NK-Rückzhgen: Partei 10</v>
      </c>
      <c r="D81" s="43">
        <f>IF(B81=0,0,SUMIF(Journal!$F$7:$F$83,Calc!B81,Journal!$I$7:$I$83))</f>
        <v>0</v>
      </c>
      <c r="E81" s="15">
        <f ca="1">IF(B81=0,0,SUMIF(Journal!$G$7:$M155,Calc!B81,Journal!$I$7:$I$83))</f>
        <v>0</v>
      </c>
      <c r="F81" s="44">
        <f t="shared" ca="1" si="48"/>
        <v>0</v>
      </c>
      <c r="G81" s="15">
        <f t="shared" ca="1" si="49"/>
        <v>0</v>
      </c>
      <c r="H81" s="14" t="str">
        <f t="shared" ca="1" si="50"/>
        <v xml:space="preserve"> </v>
      </c>
      <c r="I81" s="43" t="str">
        <f t="shared" ca="1" si="51"/>
        <v xml:space="preserve"> </v>
      </c>
      <c r="J81" s="45" t="str">
        <f t="shared" ca="1" si="52"/>
        <v xml:space="preserve"> </v>
      </c>
      <c r="K81" s="48" t="str">
        <f t="shared" ca="1" si="53"/>
        <v xml:space="preserve"> </v>
      </c>
      <c r="L81" s="45" t="str">
        <f t="shared" ca="1" si="54"/>
        <v xml:space="preserve"> </v>
      </c>
      <c r="M81" s="48" t="str">
        <f t="shared" ca="1" si="55"/>
        <v xml:space="preserve"> </v>
      </c>
      <c r="N81" s="24"/>
      <c r="O81" s="12">
        <f t="shared" si="56"/>
        <v>10.01299999999997</v>
      </c>
      <c r="P81" s="12">
        <f t="shared" si="57"/>
        <v>9.0111999999999739</v>
      </c>
      <c r="Q81" s="12">
        <f t="shared" si="58"/>
        <v>31.004999999999988</v>
      </c>
      <c r="R81" s="12">
        <f t="shared" si="59"/>
        <v>25</v>
      </c>
      <c r="S81" s="12">
        <f t="shared" si="60"/>
        <v>6100</v>
      </c>
      <c r="T81" s="12" t="str">
        <f t="shared" si="61"/>
        <v>NK-Rückzhgen: Partei 10</v>
      </c>
      <c r="U81" s="43">
        <f ca="1">IF(OR(A81=Kontenplan!$C$3,A81=Kontenplan!$C$5),F81-G81,G81-F81)</f>
        <v>0</v>
      </c>
      <c r="V81" s="171">
        <f t="shared" si="44"/>
        <v>75</v>
      </c>
      <c r="W81" s="12">
        <f t="shared" si="45"/>
        <v>48</v>
      </c>
      <c r="X81" s="12">
        <f t="shared" si="46"/>
        <v>50</v>
      </c>
      <c r="Y81" s="12">
        <f>IF(Z81=0,VLOOKUP(W81,Kontenplan!$Y$9:$AA$551,3),"")</f>
        <v>0</v>
      </c>
      <c r="Z81" s="12">
        <f t="shared" si="62"/>
        <v>0</v>
      </c>
      <c r="AA81" s="12" t="str">
        <f t="shared" ca="1" si="63"/>
        <v/>
      </c>
      <c r="AB81" s="46" t="str">
        <f t="shared" ca="1" si="64"/>
        <v/>
      </c>
      <c r="AC81" s="46" t="str">
        <f t="shared" ca="1" si="65"/>
        <v/>
      </c>
      <c r="AD81" s="47"/>
      <c r="AE81" s="12">
        <f>IF(AF81=0,VLOOKUP(X81,Kontenplan!$Z$9:$AB$551,3),"")</f>
        <v>0</v>
      </c>
      <c r="AF81" s="47">
        <f t="shared" si="66"/>
        <v>0</v>
      </c>
      <c r="AG81" s="12" t="str">
        <f t="shared" ca="1" si="67"/>
        <v/>
      </c>
      <c r="AH81" s="46" t="str">
        <f t="shared" ca="1" si="68"/>
        <v/>
      </c>
      <c r="AI81" s="46" t="str">
        <f t="shared" ca="1" si="69"/>
        <v/>
      </c>
      <c r="AJ81" s="46"/>
      <c r="AK81" s="147">
        <f t="shared" ca="1" si="70"/>
        <v>2.0065000000000137</v>
      </c>
      <c r="AL81" s="147">
        <f t="shared" si="71"/>
        <v>2.0068000000000144</v>
      </c>
      <c r="AM81" s="12" t="str">
        <f>IF(V81&lt;=AO$3,VLOOKUP(V81,Kontenplan!$A$9:$D$278,4),"")</f>
        <v/>
      </c>
      <c r="AN81" s="12">
        <f t="shared" si="72"/>
        <v>0</v>
      </c>
      <c r="AO81" s="12" t="str">
        <f t="shared" ca="1" si="73"/>
        <v/>
      </c>
      <c r="AP81" s="46" t="str">
        <f t="shared" ca="1" si="74"/>
        <v/>
      </c>
      <c r="AQ81" s="46" t="str">
        <f t="shared" ca="1" si="75"/>
        <v/>
      </c>
      <c r="AR81" s="46"/>
      <c r="AS81" s="147">
        <f t="shared" ca="1" si="76"/>
        <v>3.0064000000000135</v>
      </c>
      <c r="AT81" s="147">
        <f t="shared" si="77"/>
        <v>2.0069000000000146</v>
      </c>
      <c r="AU81" s="47" t="str">
        <f>IF(V81&lt;=AW$3,VLOOKUP(AO$3+V81,Kontenplan!$A$9:$D$278,4),"")</f>
        <v/>
      </c>
      <c r="AV81" s="12">
        <f t="shared" si="78"/>
        <v>0</v>
      </c>
      <c r="AW81" s="12" t="str">
        <f t="shared" ca="1" si="79"/>
        <v/>
      </c>
      <c r="AX81" s="46" t="str">
        <f t="shared" ca="1" si="47"/>
        <v/>
      </c>
      <c r="AY81" s="46" t="str">
        <f t="shared" ca="1" si="80"/>
        <v/>
      </c>
      <c r="BA81" s="12">
        <f>Kontenplan!R83</f>
        <v>3</v>
      </c>
      <c r="BB81" s="12">
        <f>Kontenplan!S83</f>
        <v>2</v>
      </c>
      <c r="BC81" s="12">
        <f>Kontenplan!T83</f>
        <v>4</v>
      </c>
      <c r="BD81" s="170">
        <f>Kontenplan!U83</f>
        <v>3</v>
      </c>
      <c r="BF81" s="24">
        <f ca="1">SUM(AP$7:AP81)</f>
        <v>0</v>
      </c>
      <c r="BG81" s="46">
        <f ca="1">SUM(AQ$7:AQ80)</f>
        <v>0</v>
      </c>
      <c r="BH81" s="24">
        <f t="shared" ca="1" si="81"/>
        <v>0</v>
      </c>
      <c r="BI81" s="24"/>
      <c r="BJ81" s="24">
        <f ca="1">SUM(AX$7:AX81)</f>
        <v>0</v>
      </c>
      <c r="BK81" s="24">
        <f ca="1">SUM(AY$7:AY80)</f>
        <v>0</v>
      </c>
      <c r="BL81" s="24">
        <f t="shared" ca="1" si="82"/>
        <v>0</v>
      </c>
      <c r="BN81" s="24">
        <f ca="1">SUM(AB$7:AB81)</f>
        <v>0</v>
      </c>
      <c r="BO81" s="46">
        <f ca="1">SUM(AC$7:AC80)</f>
        <v>0</v>
      </c>
      <c r="BP81" s="24">
        <f t="shared" ca="1" si="83"/>
        <v>0</v>
      </c>
      <c r="BR81" s="24">
        <f ca="1">SUM(AH$7:AH81)</f>
        <v>0</v>
      </c>
      <c r="BS81" s="46">
        <f ca="1">SUM(AI$7:AI80)</f>
        <v>0</v>
      </c>
      <c r="BT81" s="24">
        <f t="shared" ca="1" si="84"/>
        <v>0</v>
      </c>
    </row>
    <row r="82" spans="1:72" s="12" customFormat="1">
      <c r="A82" s="202" t="str">
        <f>Kontenplan!C84</f>
        <v>Ertragskonto</v>
      </c>
      <c r="B82" s="224">
        <f>Kontenplan!E84</f>
        <v>6110</v>
      </c>
      <c r="C82" s="225" t="str">
        <f>Kontenplan!F84</f>
        <v>NK-Rückzhgen: Partei 11</v>
      </c>
      <c r="D82" s="43">
        <f>IF(B82=0,0,SUMIF(Journal!$F$7:$F$83,Calc!B82,Journal!$I$7:$I$83))</f>
        <v>0</v>
      </c>
      <c r="E82" s="15">
        <f ca="1">IF(B82=0,0,SUMIF(Journal!$G$7:$M156,Calc!B82,Journal!$I$7:$I$83))</f>
        <v>0</v>
      </c>
      <c r="F82" s="44">
        <f t="shared" ca="1" si="48"/>
        <v>0</v>
      </c>
      <c r="G82" s="15">
        <f t="shared" ca="1" si="49"/>
        <v>0</v>
      </c>
      <c r="H82" s="14" t="str">
        <f t="shared" ca="1" si="50"/>
        <v xml:space="preserve"> </v>
      </c>
      <c r="I82" s="43" t="str">
        <f t="shared" ca="1" si="51"/>
        <v xml:space="preserve"> </v>
      </c>
      <c r="J82" s="45" t="str">
        <f t="shared" ca="1" si="52"/>
        <v xml:space="preserve"> </v>
      </c>
      <c r="K82" s="48" t="str">
        <f t="shared" ca="1" si="53"/>
        <v xml:space="preserve"> </v>
      </c>
      <c r="L82" s="45" t="str">
        <f t="shared" ca="1" si="54"/>
        <v xml:space="preserve"> </v>
      </c>
      <c r="M82" s="48" t="str">
        <f t="shared" ca="1" si="55"/>
        <v xml:space="preserve"> </v>
      </c>
      <c r="N82" s="24"/>
      <c r="O82" s="12">
        <f t="shared" si="56"/>
        <v>10.013199999999969</v>
      </c>
      <c r="P82" s="12">
        <f t="shared" si="57"/>
        <v>9.0113999999999734</v>
      </c>
      <c r="Q82" s="12">
        <f t="shared" si="58"/>
        <v>31.005199999999988</v>
      </c>
      <c r="R82" s="12">
        <f t="shared" si="59"/>
        <v>26</v>
      </c>
      <c r="S82" s="12">
        <f t="shared" si="60"/>
        <v>6110</v>
      </c>
      <c r="T82" s="12" t="str">
        <f t="shared" si="61"/>
        <v>NK-Rückzhgen: Partei 11</v>
      </c>
      <c r="U82" s="43">
        <f ca="1">IF(OR(A82=Kontenplan!$C$3,A82=Kontenplan!$C$5),F82-G82,G82-F82)</f>
        <v>0</v>
      </c>
      <c r="V82" s="171">
        <f t="shared" si="44"/>
        <v>76</v>
      </c>
      <c r="W82" s="12">
        <f t="shared" si="45"/>
        <v>49</v>
      </c>
      <c r="X82" s="12">
        <f t="shared" si="46"/>
        <v>51</v>
      </c>
      <c r="Y82" s="12">
        <f>IF(Z82=0,VLOOKUP(W82,Kontenplan!$Y$9:$AA$551,3),"")</f>
        <v>0</v>
      </c>
      <c r="Z82" s="12">
        <f t="shared" si="62"/>
        <v>0</v>
      </c>
      <c r="AA82" s="12" t="str">
        <f t="shared" ca="1" si="63"/>
        <v/>
      </c>
      <c r="AB82" s="46" t="str">
        <f t="shared" ca="1" si="64"/>
        <v/>
      </c>
      <c r="AC82" s="46" t="str">
        <f t="shared" ca="1" si="65"/>
        <v/>
      </c>
      <c r="AD82" s="47"/>
      <c r="AE82" s="12">
        <f>IF(AF82=0,VLOOKUP(X82,Kontenplan!$Z$9:$AB$551,3),"")</f>
        <v>0</v>
      </c>
      <c r="AF82" s="47">
        <f t="shared" si="66"/>
        <v>0</v>
      </c>
      <c r="AG82" s="12" t="str">
        <f t="shared" ca="1" si="67"/>
        <v/>
      </c>
      <c r="AH82" s="46" t="str">
        <f t="shared" ca="1" si="68"/>
        <v/>
      </c>
      <c r="AI82" s="46" t="str">
        <f t="shared" ca="1" si="69"/>
        <v/>
      </c>
      <c r="AJ82" s="46"/>
      <c r="AK82" s="147">
        <f t="shared" ca="1" si="70"/>
        <v>2.0066000000000139</v>
      </c>
      <c r="AL82" s="147">
        <f t="shared" si="71"/>
        <v>2.0069000000000146</v>
      </c>
      <c r="AM82" s="12" t="str">
        <f>IF(V82&lt;=AO$3,VLOOKUP(V82,Kontenplan!$A$9:$D$278,4),"")</f>
        <v/>
      </c>
      <c r="AN82" s="12">
        <f t="shared" si="72"/>
        <v>0</v>
      </c>
      <c r="AO82" s="12" t="str">
        <f t="shared" ca="1" si="73"/>
        <v/>
      </c>
      <c r="AP82" s="46" t="str">
        <f t="shared" ca="1" si="74"/>
        <v/>
      </c>
      <c r="AQ82" s="46" t="str">
        <f t="shared" ca="1" si="75"/>
        <v/>
      </c>
      <c r="AR82" s="46"/>
      <c r="AS82" s="147">
        <f t="shared" ca="1" si="76"/>
        <v>3.0065000000000137</v>
      </c>
      <c r="AT82" s="147">
        <f t="shared" si="77"/>
        <v>2.0070000000000148</v>
      </c>
      <c r="AU82" s="47" t="str">
        <f>IF(V82&lt;=AW$3,VLOOKUP(AO$3+V82,Kontenplan!$A$9:$D$278,4),"")</f>
        <v/>
      </c>
      <c r="AV82" s="12">
        <f t="shared" si="78"/>
        <v>0</v>
      </c>
      <c r="AW82" s="12" t="str">
        <f t="shared" ca="1" si="79"/>
        <v/>
      </c>
      <c r="AX82" s="46" t="str">
        <f t="shared" ca="1" si="47"/>
        <v/>
      </c>
      <c r="AY82" s="46" t="str">
        <f t="shared" ca="1" si="80"/>
        <v/>
      </c>
      <c r="BA82" s="12">
        <f>Kontenplan!R84</f>
        <v>3</v>
      </c>
      <c r="BB82" s="12">
        <f>Kontenplan!S84</f>
        <v>2</v>
      </c>
      <c r="BC82" s="12">
        <f>Kontenplan!T84</f>
        <v>4</v>
      </c>
      <c r="BD82" s="170">
        <f>Kontenplan!U84</f>
        <v>3</v>
      </c>
      <c r="BF82" s="24">
        <f ca="1">SUM(AP$7:AP82)</f>
        <v>0</v>
      </c>
      <c r="BG82" s="46">
        <f ca="1">SUM(AQ$7:AQ81)</f>
        <v>0</v>
      </c>
      <c r="BH82" s="24">
        <f t="shared" ca="1" si="81"/>
        <v>0</v>
      </c>
      <c r="BI82" s="24"/>
      <c r="BJ82" s="24">
        <f ca="1">SUM(AX$7:AX82)</f>
        <v>0</v>
      </c>
      <c r="BK82" s="24">
        <f ca="1">SUM(AY$7:AY81)</f>
        <v>0</v>
      </c>
      <c r="BL82" s="24">
        <f t="shared" ca="1" si="82"/>
        <v>0</v>
      </c>
      <c r="BN82" s="24">
        <f ca="1">SUM(AB$7:AB82)</f>
        <v>0</v>
      </c>
      <c r="BO82" s="46">
        <f ca="1">SUM(AC$7:AC81)</f>
        <v>0</v>
      </c>
      <c r="BP82" s="24">
        <f t="shared" ca="1" si="83"/>
        <v>0</v>
      </c>
      <c r="BR82" s="24">
        <f ca="1">SUM(AH$7:AH82)</f>
        <v>0</v>
      </c>
      <c r="BS82" s="46">
        <f ca="1">SUM(AI$7:AI81)</f>
        <v>0</v>
      </c>
      <c r="BT82" s="24">
        <f t="shared" ca="1" si="84"/>
        <v>0</v>
      </c>
    </row>
    <row r="83" spans="1:72" s="12" customFormat="1">
      <c r="A83" s="202" t="str">
        <f>Kontenplan!C85</f>
        <v>Ertragskonto</v>
      </c>
      <c r="B83" s="224">
        <f>Kontenplan!E85</f>
        <v>6120</v>
      </c>
      <c r="C83" s="225" t="str">
        <f>Kontenplan!F85</f>
        <v>NK-Rückzhgen: Partei 12</v>
      </c>
      <c r="D83" s="43">
        <f>IF(B83=0,0,SUMIF(Journal!$F$7:$F$83,Calc!B83,Journal!$I$7:$I$83))</f>
        <v>0</v>
      </c>
      <c r="E83" s="15">
        <f ca="1">IF(B83=0,0,SUMIF(Journal!$G$7:$M157,Calc!B83,Journal!$I$7:$I$83))</f>
        <v>0</v>
      </c>
      <c r="F83" s="44">
        <f t="shared" ca="1" si="48"/>
        <v>0</v>
      </c>
      <c r="G83" s="15">
        <f t="shared" ca="1" si="49"/>
        <v>0</v>
      </c>
      <c r="H83" s="14" t="str">
        <f t="shared" ca="1" si="50"/>
        <v xml:space="preserve"> </v>
      </c>
      <c r="I83" s="43" t="str">
        <f t="shared" ca="1" si="51"/>
        <v xml:space="preserve"> </v>
      </c>
      <c r="J83" s="45" t="str">
        <f t="shared" ca="1" si="52"/>
        <v xml:space="preserve"> </v>
      </c>
      <c r="K83" s="48" t="str">
        <f t="shared" ca="1" si="53"/>
        <v xml:space="preserve"> </v>
      </c>
      <c r="L83" s="45" t="str">
        <f t="shared" ca="1" si="54"/>
        <v xml:space="preserve"> </v>
      </c>
      <c r="M83" s="48" t="str">
        <f t="shared" ca="1" si="55"/>
        <v xml:space="preserve"> </v>
      </c>
      <c r="N83" s="24"/>
      <c r="O83" s="12">
        <f t="shared" si="56"/>
        <v>10.013399999999969</v>
      </c>
      <c r="P83" s="12">
        <f t="shared" si="57"/>
        <v>9.011599999999973</v>
      </c>
      <c r="Q83" s="12">
        <f t="shared" si="58"/>
        <v>31.005399999999987</v>
      </c>
      <c r="R83" s="12">
        <f t="shared" si="59"/>
        <v>27</v>
      </c>
      <c r="S83" s="12">
        <f t="shared" si="60"/>
        <v>6120</v>
      </c>
      <c r="T83" s="12" t="str">
        <f t="shared" si="61"/>
        <v>NK-Rückzhgen: Partei 12</v>
      </c>
      <c r="U83" s="43">
        <f ca="1">IF(OR(A83=Kontenplan!$C$3,A83=Kontenplan!$C$5),F83-G83,G83-F83)</f>
        <v>0</v>
      </c>
      <c r="V83" s="171">
        <f t="shared" si="44"/>
        <v>77</v>
      </c>
      <c r="W83" s="12">
        <f t="shared" si="45"/>
        <v>50</v>
      </c>
      <c r="X83" s="12">
        <f t="shared" si="46"/>
        <v>52</v>
      </c>
      <c r="Y83" s="12">
        <f>IF(Z83=0,VLOOKUP(W83,Kontenplan!$Y$9:$AA$551,3),"")</f>
        <v>0</v>
      </c>
      <c r="Z83" s="12">
        <f t="shared" si="62"/>
        <v>0</v>
      </c>
      <c r="AA83" s="12" t="str">
        <f t="shared" ca="1" si="63"/>
        <v/>
      </c>
      <c r="AB83" s="46" t="str">
        <f t="shared" ca="1" si="64"/>
        <v/>
      </c>
      <c r="AC83" s="46" t="str">
        <f t="shared" ca="1" si="65"/>
        <v/>
      </c>
      <c r="AD83" s="47"/>
      <c r="AE83" s="12">
        <f>IF(AF83=0,VLOOKUP(X83,Kontenplan!$Z$9:$AB$551,3),"")</f>
        <v>0</v>
      </c>
      <c r="AF83" s="47">
        <f t="shared" si="66"/>
        <v>0</v>
      </c>
      <c r="AG83" s="12" t="str">
        <f t="shared" ca="1" si="67"/>
        <v/>
      </c>
      <c r="AH83" s="46" t="str">
        <f t="shared" ca="1" si="68"/>
        <v/>
      </c>
      <c r="AI83" s="46" t="str">
        <f t="shared" ca="1" si="69"/>
        <v/>
      </c>
      <c r="AJ83" s="46"/>
      <c r="AK83" s="147">
        <f t="shared" ca="1" si="70"/>
        <v>2.0067000000000141</v>
      </c>
      <c r="AL83" s="147">
        <f t="shared" si="71"/>
        <v>2.0070000000000148</v>
      </c>
      <c r="AM83" s="12" t="str">
        <f>IF(V83&lt;=AO$3,VLOOKUP(V83,Kontenplan!$A$9:$D$278,4),"")</f>
        <v/>
      </c>
      <c r="AN83" s="12">
        <f t="shared" si="72"/>
        <v>0</v>
      </c>
      <c r="AO83" s="12" t="str">
        <f t="shared" ca="1" si="73"/>
        <v/>
      </c>
      <c r="AP83" s="46" t="str">
        <f t="shared" ca="1" si="74"/>
        <v/>
      </c>
      <c r="AQ83" s="46" t="str">
        <f t="shared" ca="1" si="75"/>
        <v/>
      </c>
      <c r="AR83" s="46"/>
      <c r="AS83" s="147">
        <f t="shared" ca="1" si="76"/>
        <v>3.0066000000000139</v>
      </c>
      <c r="AT83" s="147">
        <f t="shared" si="77"/>
        <v>2.007100000000015</v>
      </c>
      <c r="AU83" s="47" t="str">
        <f>IF(V83&lt;=AW$3,VLOOKUP(AO$3+V83,Kontenplan!$A$9:$D$278,4),"")</f>
        <v/>
      </c>
      <c r="AV83" s="12">
        <f t="shared" si="78"/>
        <v>0</v>
      </c>
      <c r="AW83" s="12" t="str">
        <f t="shared" ca="1" si="79"/>
        <v/>
      </c>
      <c r="AX83" s="46" t="str">
        <f t="shared" ca="1" si="47"/>
        <v/>
      </c>
      <c r="AY83" s="46" t="str">
        <f t="shared" ca="1" si="80"/>
        <v/>
      </c>
      <c r="BA83" s="12">
        <f>Kontenplan!R85</f>
        <v>3</v>
      </c>
      <c r="BB83" s="12">
        <f>Kontenplan!S85</f>
        <v>2</v>
      </c>
      <c r="BC83" s="12">
        <f>Kontenplan!T85</f>
        <v>4</v>
      </c>
      <c r="BD83" s="170">
        <f>Kontenplan!U85</f>
        <v>3</v>
      </c>
      <c r="BF83" s="24">
        <f ca="1">SUM(AP$7:AP83)</f>
        <v>0</v>
      </c>
      <c r="BG83" s="46">
        <f ca="1">SUM(AQ$7:AQ82)</f>
        <v>0</v>
      </c>
      <c r="BH83" s="24">
        <f t="shared" ca="1" si="81"/>
        <v>0</v>
      </c>
      <c r="BI83" s="24"/>
      <c r="BJ83" s="24">
        <f ca="1">SUM(AX$7:AX83)</f>
        <v>0</v>
      </c>
      <c r="BK83" s="24">
        <f ca="1">SUM(AY$7:AY82)</f>
        <v>0</v>
      </c>
      <c r="BL83" s="24">
        <f t="shared" ca="1" si="82"/>
        <v>0</v>
      </c>
      <c r="BN83" s="24">
        <f ca="1">SUM(AB$7:AB83)</f>
        <v>0</v>
      </c>
      <c r="BO83" s="46">
        <f ca="1">SUM(AC$7:AC82)</f>
        <v>0</v>
      </c>
      <c r="BP83" s="24">
        <f t="shared" ca="1" si="83"/>
        <v>0</v>
      </c>
      <c r="BR83" s="24">
        <f ca="1">SUM(AH$7:AH83)</f>
        <v>0</v>
      </c>
      <c r="BS83" s="46">
        <f ca="1">SUM(AI$7:AI82)</f>
        <v>0</v>
      </c>
      <c r="BT83" s="24">
        <f t="shared" ca="1" si="84"/>
        <v>0</v>
      </c>
    </row>
    <row r="84" spans="1:72" s="12" customFormat="1">
      <c r="A84" s="202">
        <f>Kontenplan!C86</f>
        <v>0</v>
      </c>
      <c r="B84" s="224">
        <f>Kontenplan!E86</f>
        <v>0</v>
      </c>
      <c r="C84" s="225">
        <f>Kontenplan!F86</f>
        <v>0</v>
      </c>
      <c r="D84" s="43">
        <f>IF(B84=0,0,SUMIF(Journal!$F$7:$F$83,Calc!B84,Journal!$I$7:$I$83))</f>
        <v>0</v>
      </c>
      <c r="E84" s="15">
        <f>IF(B84=0,0,SUMIF(Journal!$G$7:$M158,Calc!B84,Journal!$I$7:$I$83))</f>
        <v>0</v>
      </c>
      <c r="F84" s="44">
        <f t="shared" si="48"/>
        <v>0</v>
      </c>
      <c r="G84" s="15">
        <f t="shared" si="49"/>
        <v>0</v>
      </c>
      <c r="H84" s="14" t="str">
        <f t="shared" si="50"/>
        <v xml:space="preserve"> </v>
      </c>
      <c r="I84" s="43" t="str">
        <f t="shared" si="51"/>
        <v xml:space="preserve"> </v>
      </c>
      <c r="J84" s="45" t="str">
        <f t="shared" si="52"/>
        <v xml:space="preserve"> </v>
      </c>
      <c r="K84" s="48" t="str">
        <f t="shared" si="53"/>
        <v xml:space="preserve"> </v>
      </c>
      <c r="L84" s="45" t="str">
        <f t="shared" si="54"/>
        <v xml:space="preserve"> </v>
      </c>
      <c r="M84" s="48" t="str">
        <f t="shared" si="55"/>
        <v xml:space="preserve"> </v>
      </c>
      <c r="N84" s="24"/>
      <c r="O84" s="12">
        <f t="shared" si="56"/>
        <v>10.013599999999968</v>
      </c>
      <c r="P84" s="12">
        <f t="shared" si="57"/>
        <v>9.0117999999999725</v>
      </c>
      <c r="Q84" s="12">
        <f t="shared" si="58"/>
        <v>31.005599999999987</v>
      </c>
      <c r="R84" s="12">
        <f t="shared" si="59"/>
        <v>28</v>
      </c>
      <c r="S84" s="12">
        <f t="shared" si="60"/>
        <v>0</v>
      </c>
      <c r="T84" s="12">
        <f t="shared" si="61"/>
        <v>0</v>
      </c>
      <c r="U84" s="43">
        <f>IF(OR(A84=Kontenplan!$C$3,A84=Kontenplan!$C$5),F84-G84,G84-F84)</f>
        <v>0</v>
      </c>
      <c r="V84" s="171">
        <f t="shared" si="44"/>
        <v>78</v>
      </c>
      <c r="W84" s="12">
        <f t="shared" si="45"/>
        <v>51</v>
      </c>
      <c r="X84" s="12">
        <f t="shared" si="46"/>
        <v>53</v>
      </c>
      <c r="Y84" s="12">
        <f>IF(Z84=0,VLOOKUP(W84,Kontenplan!$Y$9:$AA$551,3),"")</f>
        <v>0</v>
      </c>
      <c r="Z84" s="12">
        <f t="shared" si="62"/>
        <v>0</v>
      </c>
      <c r="AA84" s="12" t="str">
        <f t="shared" ca="1" si="63"/>
        <v/>
      </c>
      <c r="AB84" s="46" t="str">
        <f t="shared" ca="1" si="64"/>
        <v/>
      </c>
      <c r="AC84" s="46" t="str">
        <f t="shared" ca="1" si="65"/>
        <v/>
      </c>
      <c r="AD84" s="47"/>
      <c r="AE84" s="12">
        <f>IF(AF84=0,VLOOKUP(X84,Kontenplan!$Z$9:$AB$551,3),"")</f>
        <v>0</v>
      </c>
      <c r="AF84" s="47">
        <f t="shared" si="66"/>
        <v>0</v>
      </c>
      <c r="AG84" s="12" t="str">
        <f t="shared" ca="1" si="67"/>
        <v/>
      </c>
      <c r="AH84" s="46" t="str">
        <f t="shared" ca="1" si="68"/>
        <v/>
      </c>
      <c r="AI84" s="46" t="str">
        <f t="shared" ca="1" si="69"/>
        <v/>
      </c>
      <c r="AJ84" s="46"/>
      <c r="AK84" s="147">
        <f t="shared" ca="1" si="70"/>
        <v>2.0068000000000144</v>
      </c>
      <c r="AL84" s="147">
        <f t="shared" si="71"/>
        <v>2.007100000000015</v>
      </c>
      <c r="AM84" s="12" t="str">
        <f>IF(V84&lt;=AO$3,VLOOKUP(V84,Kontenplan!$A$9:$D$278,4),"")</f>
        <v/>
      </c>
      <c r="AN84" s="12">
        <f t="shared" si="72"/>
        <v>0</v>
      </c>
      <c r="AO84" s="12" t="str">
        <f t="shared" ca="1" si="73"/>
        <v/>
      </c>
      <c r="AP84" s="46" t="str">
        <f t="shared" ca="1" si="74"/>
        <v/>
      </c>
      <c r="AQ84" s="46" t="str">
        <f t="shared" ca="1" si="75"/>
        <v/>
      </c>
      <c r="AR84" s="46"/>
      <c r="AS84" s="147">
        <f t="shared" ca="1" si="76"/>
        <v>3.0067000000000141</v>
      </c>
      <c r="AT84" s="147">
        <f t="shared" si="77"/>
        <v>2.0072000000000152</v>
      </c>
      <c r="AU84" s="47" t="str">
        <f>IF(V84&lt;=AW$3,VLOOKUP(AO$3+V84,Kontenplan!$A$9:$D$278,4),"")</f>
        <v/>
      </c>
      <c r="AV84" s="12">
        <f t="shared" si="78"/>
        <v>0</v>
      </c>
      <c r="AW84" s="12" t="str">
        <f t="shared" ca="1" si="79"/>
        <v/>
      </c>
      <c r="AX84" s="46" t="str">
        <f t="shared" ca="1" si="47"/>
        <v/>
      </c>
      <c r="AY84" s="46" t="str">
        <f t="shared" ca="1" si="80"/>
        <v/>
      </c>
      <c r="BA84" s="12">
        <f>Kontenplan!R86</f>
        <v>3</v>
      </c>
      <c r="BB84" s="12">
        <f>Kontenplan!S86</f>
        <v>2</v>
      </c>
      <c r="BC84" s="12">
        <f>Kontenplan!T86</f>
        <v>4</v>
      </c>
      <c r="BD84" s="170">
        <f>Kontenplan!U86</f>
        <v>4</v>
      </c>
      <c r="BF84" s="24">
        <f ca="1">SUM(AP$7:AP84)</f>
        <v>0</v>
      </c>
      <c r="BG84" s="46">
        <f ca="1">SUM(AQ$7:AQ83)</f>
        <v>0</v>
      </c>
      <c r="BH84" s="24">
        <f t="shared" ca="1" si="81"/>
        <v>0</v>
      </c>
      <c r="BI84" s="24"/>
      <c r="BJ84" s="24">
        <f ca="1">SUM(AX$7:AX84)</f>
        <v>0</v>
      </c>
      <c r="BK84" s="24">
        <f ca="1">SUM(AY$7:AY83)</f>
        <v>0</v>
      </c>
      <c r="BL84" s="24">
        <f t="shared" ca="1" si="82"/>
        <v>0</v>
      </c>
      <c r="BN84" s="24">
        <f ca="1">SUM(AB$7:AB84)</f>
        <v>0</v>
      </c>
      <c r="BO84" s="46">
        <f ca="1">SUM(AC$7:AC83)</f>
        <v>0</v>
      </c>
      <c r="BP84" s="24">
        <f t="shared" ca="1" si="83"/>
        <v>0</v>
      </c>
      <c r="BR84" s="24">
        <f ca="1">SUM(AH$7:AH84)</f>
        <v>0</v>
      </c>
      <c r="BS84" s="46">
        <f ca="1">SUM(AI$7:AI83)</f>
        <v>0</v>
      </c>
      <c r="BT84" s="24">
        <f t="shared" ca="1" si="84"/>
        <v>0</v>
      </c>
    </row>
    <row r="85" spans="1:72" s="12" customFormat="1">
      <c r="A85" s="202" t="str">
        <f>Kontenplan!C87</f>
        <v>Ertragskonto</v>
      </c>
      <c r="B85" s="224">
        <f>Kontenplan!E87</f>
        <v>9999</v>
      </c>
      <c r="C85" s="225" t="str">
        <f>Kontenplan!F87</f>
        <v>Eröffnungskonto</v>
      </c>
      <c r="D85" s="43">
        <f>IF(B85=0,0,SUMIF(Journal!$F$7:$F$83,Calc!B85,Journal!$I$7:$I$83))</f>
        <v>0</v>
      </c>
      <c r="E85" s="15">
        <f ca="1">IF(B85=0,0,SUMIF(Journal!$G$7:$M159,Calc!B85,Journal!$I$7:$I$83))</f>
        <v>0</v>
      </c>
      <c r="F85" s="44">
        <f t="shared" ca="1" si="48"/>
        <v>0</v>
      </c>
      <c r="G85" s="15">
        <f t="shared" ca="1" si="49"/>
        <v>0</v>
      </c>
      <c r="H85" s="14" t="str">
        <f t="shared" ca="1" si="50"/>
        <v xml:space="preserve"> </v>
      </c>
      <c r="I85" s="43" t="str">
        <f t="shared" ca="1" si="51"/>
        <v xml:space="preserve"> </v>
      </c>
      <c r="J85" s="45" t="str">
        <f t="shared" ca="1" si="52"/>
        <v xml:space="preserve"> </v>
      </c>
      <c r="K85" s="48" t="str">
        <f t="shared" ca="1" si="53"/>
        <v xml:space="preserve"> </v>
      </c>
      <c r="L85" s="45" t="str">
        <f t="shared" ca="1" si="54"/>
        <v xml:space="preserve"> </v>
      </c>
      <c r="M85" s="48" t="str">
        <f t="shared" ca="1" si="55"/>
        <v xml:space="preserve"> </v>
      </c>
      <c r="N85" s="24"/>
      <c r="O85" s="12">
        <f t="shared" si="56"/>
        <v>10.013799999999968</v>
      </c>
      <c r="P85" s="12">
        <f t="shared" si="57"/>
        <v>9.011999999999972</v>
      </c>
      <c r="Q85" s="12">
        <f t="shared" si="58"/>
        <v>31.005799999999986</v>
      </c>
      <c r="R85" s="12">
        <f t="shared" si="59"/>
        <v>29</v>
      </c>
      <c r="S85" s="12">
        <f t="shared" si="60"/>
        <v>9999</v>
      </c>
      <c r="T85" s="12" t="str">
        <f t="shared" si="61"/>
        <v>Eröffnungskonto</v>
      </c>
      <c r="U85" s="43">
        <f ca="1">IF(OR(A85=Kontenplan!$C$3,A85=Kontenplan!$C$5),F85-G85,G85-F85)</f>
        <v>0</v>
      </c>
      <c r="V85" s="171">
        <f t="shared" si="44"/>
        <v>79</v>
      </c>
      <c r="W85" s="12">
        <f t="shared" si="45"/>
        <v>52</v>
      </c>
      <c r="X85" s="12">
        <f t="shared" si="46"/>
        <v>54</v>
      </c>
      <c r="Y85" s="12">
        <f>IF(Z85=0,VLOOKUP(W85,Kontenplan!$Y$9:$AA$551,3),"")</f>
        <v>0</v>
      </c>
      <c r="Z85" s="12">
        <f t="shared" si="62"/>
        <v>0</v>
      </c>
      <c r="AA85" s="12" t="str">
        <f t="shared" ca="1" si="63"/>
        <v/>
      </c>
      <c r="AB85" s="46" t="str">
        <f t="shared" ca="1" si="64"/>
        <v/>
      </c>
      <c r="AC85" s="46" t="str">
        <f t="shared" ca="1" si="65"/>
        <v/>
      </c>
      <c r="AD85" s="47"/>
      <c r="AE85" s="12">
        <f>IF(AF85=0,VLOOKUP(X85,Kontenplan!$Z$9:$AB$551,3),"")</f>
        <v>0</v>
      </c>
      <c r="AF85" s="47">
        <f t="shared" si="66"/>
        <v>0</v>
      </c>
      <c r="AG85" s="12" t="str">
        <f t="shared" ca="1" si="67"/>
        <v/>
      </c>
      <c r="AH85" s="46" t="str">
        <f t="shared" ca="1" si="68"/>
        <v/>
      </c>
      <c r="AI85" s="46" t="str">
        <f t="shared" ca="1" si="69"/>
        <v/>
      </c>
      <c r="AJ85" s="46"/>
      <c r="AK85" s="147">
        <f t="shared" ca="1" si="70"/>
        <v>2.0069000000000146</v>
      </c>
      <c r="AL85" s="147">
        <f t="shared" si="71"/>
        <v>2.0072000000000152</v>
      </c>
      <c r="AM85" s="12" t="str">
        <f>IF(V85&lt;=AO$3,VLOOKUP(V85,Kontenplan!$A$9:$D$278,4),"")</f>
        <v/>
      </c>
      <c r="AN85" s="12">
        <f t="shared" si="72"/>
        <v>0</v>
      </c>
      <c r="AO85" s="12" t="str">
        <f t="shared" ca="1" si="73"/>
        <v/>
      </c>
      <c r="AP85" s="46" t="str">
        <f t="shared" ca="1" si="74"/>
        <v/>
      </c>
      <c r="AQ85" s="46" t="str">
        <f t="shared" ca="1" si="75"/>
        <v/>
      </c>
      <c r="AR85" s="46"/>
      <c r="AS85" s="147">
        <f t="shared" ca="1" si="76"/>
        <v>3.0068000000000144</v>
      </c>
      <c r="AT85" s="147">
        <f t="shared" si="77"/>
        <v>2.0073000000000154</v>
      </c>
      <c r="AU85" s="47" t="str">
        <f>IF(V85&lt;=AW$3,VLOOKUP(AO$3+V85,Kontenplan!$A$9:$D$278,4),"")</f>
        <v/>
      </c>
      <c r="AV85" s="12">
        <f t="shared" si="78"/>
        <v>0</v>
      </c>
      <c r="AW85" s="12" t="str">
        <f t="shared" ca="1" si="79"/>
        <v/>
      </c>
      <c r="AX85" s="46" t="str">
        <f t="shared" ca="1" si="47"/>
        <v/>
      </c>
      <c r="AY85" s="46" t="str">
        <f t="shared" ca="1" si="80"/>
        <v/>
      </c>
      <c r="BA85" s="12">
        <f>Kontenplan!R87</f>
        <v>3</v>
      </c>
      <c r="BB85" s="12">
        <f>Kontenplan!S87</f>
        <v>2</v>
      </c>
      <c r="BC85" s="12">
        <f>Kontenplan!T87</f>
        <v>4</v>
      </c>
      <c r="BD85" s="170">
        <f>Kontenplan!U87</f>
        <v>4</v>
      </c>
      <c r="BF85" s="24">
        <f ca="1">SUM(AP$7:AP85)</f>
        <v>0</v>
      </c>
      <c r="BG85" s="46">
        <f ca="1">SUM(AQ$7:AQ84)</f>
        <v>0</v>
      </c>
      <c r="BH85" s="24">
        <f t="shared" ca="1" si="81"/>
        <v>0</v>
      </c>
      <c r="BI85" s="24"/>
      <c r="BJ85" s="24">
        <f ca="1">SUM(AX$7:AX85)</f>
        <v>0</v>
      </c>
      <c r="BK85" s="24">
        <f ca="1">SUM(AY$7:AY84)</f>
        <v>0</v>
      </c>
      <c r="BL85" s="24">
        <f t="shared" ca="1" si="82"/>
        <v>0</v>
      </c>
      <c r="BN85" s="24">
        <f ca="1">SUM(AB$7:AB85)</f>
        <v>0</v>
      </c>
      <c r="BO85" s="46">
        <f ca="1">SUM(AC$7:AC84)</f>
        <v>0</v>
      </c>
      <c r="BP85" s="24">
        <f t="shared" ca="1" si="83"/>
        <v>0</v>
      </c>
      <c r="BR85" s="24">
        <f ca="1">SUM(AH$7:AH85)</f>
        <v>0</v>
      </c>
      <c r="BS85" s="46">
        <f ca="1">SUM(AI$7:AI84)</f>
        <v>0</v>
      </c>
      <c r="BT85" s="24">
        <f t="shared" ca="1" si="84"/>
        <v>0</v>
      </c>
    </row>
    <row r="86" spans="1:72" s="12" customFormat="1">
      <c r="A86" s="202">
        <f>Kontenplan!C88</f>
        <v>0</v>
      </c>
      <c r="B86" s="224">
        <f>Kontenplan!E88</f>
        <v>0</v>
      </c>
      <c r="C86" s="225">
        <f>Kontenplan!F88</f>
        <v>0</v>
      </c>
      <c r="D86" s="43">
        <f>IF(B86=0,0,SUMIF(Journal!$F$7:$F$83,Calc!B86,Journal!$I$7:$I$83))</f>
        <v>0</v>
      </c>
      <c r="E86" s="15">
        <f>IF(B86=0,0,SUMIF(Journal!$G$7:$M160,Calc!B86,Journal!$I$7:$I$83))</f>
        <v>0</v>
      </c>
      <c r="F86" s="44">
        <f t="shared" si="48"/>
        <v>0</v>
      </c>
      <c r="G86" s="15">
        <f t="shared" si="49"/>
        <v>0</v>
      </c>
      <c r="H86" s="14" t="str">
        <f t="shared" si="50"/>
        <v xml:space="preserve"> </v>
      </c>
      <c r="I86" s="43" t="str">
        <f t="shared" si="51"/>
        <v xml:space="preserve"> </v>
      </c>
      <c r="J86" s="45" t="str">
        <f t="shared" si="52"/>
        <v xml:space="preserve"> </v>
      </c>
      <c r="K86" s="48" t="str">
        <f t="shared" si="53"/>
        <v xml:space="preserve"> </v>
      </c>
      <c r="L86" s="45" t="str">
        <f t="shared" si="54"/>
        <v xml:space="preserve"> </v>
      </c>
      <c r="M86" s="48" t="str">
        <f t="shared" si="55"/>
        <v xml:space="preserve"> </v>
      </c>
      <c r="N86" s="24"/>
      <c r="O86" s="12">
        <f t="shared" si="56"/>
        <v>10.013999999999967</v>
      </c>
      <c r="P86" s="12">
        <f t="shared" si="57"/>
        <v>9.0121999999999716</v>
      </c>
      <c r="Q86" s="12">
        <f t="shared" si="58"/>
        <v>31.005999999999986</v>
      </c>
      <c r="R86" s="12">
        <f t="shared" si="59"/>
        <v>29.0002</v>
      </c>
      <c r="S86" s="12">
        <f t="shared" si="60"/>
        <v>0</v>
      </c>
      <c r="T86" s="12">
        <f t="shared" si="61"/>
        <v>0</v>
      </c>
      <c r="U86" s="43">
        <f>IF(OR(A86=Kontenplan!$C$3,A86=Kontenplan!$C$5),F86-G86,G86-F86)</f>
        <v>0</v>
      </c>
      <c r="V86" s="171">
        <f t="shared" si="44"/>
        <v>80</v>
      </c>
      <c r="W86" s="12">
        <f t="shared" si="45"/>
        <v>53</v>
      </c>
      <c r="X86" s="12">
        <f t="shared" si="46"/>
        <v>55</v>
      </c>
      <c r="Y86" s="12">
        <f>IF(Z86=0,VLOOKUP(W86,Kontenplan!$Y$9:$AA$551,3),"")</f>
        <v>0</v>
      </c>
      <c r="Z86" s="12">
        <f t="shared" si="62"/>
        <v>0</v>
      </c>
      <c r="AA86" s="12" t="str">
        <f t="shared" ca="1" si="63"/>
        <v/>
      </c>
      <c r="AB86" s="46" t="str">
        <f t="shared" ca="1" si="64"/>
        <v/>
      </c>
      <c r="AC86" s="46" t="str">
        <f t="shared" ca="1" si="65"/>
        <v/>
      </c>
      <c r="AD86" s="47"/>
      <c r="AE86" s="12">
        <f>IF(AF86=0,VLOOKUP(X86,Kontenplan!$Z$9:$AB$551,3),"")</f>
        <v>0</v>
      </c>
      <c r="AF86" s="47">
        <f t="shared" si="66"/>
        <v>0</v>
      </c>
      <c r="AG86" s="12" t="str">
        <f t="shared" ca="1" si="67"/>
        <v/>
      </c>
      <c r="AH86" s="46" t="str">
        <f t="shared" ca="1" si="68"/>
        <v/>
      </c>
      <c r="AI86" s="46" t="str">
        <f t="shared" ca="1" si="69"/>
        <v/>
      </c>
      <c r="AJ86" s="46"/>
      <c r="AK86" s="147">
        <f t="shared" ca="1" si="70"/>
        <v>2.0070000000000148</v>
      </c>
      <c r="AL86" s="147">
        <f t="shared" si="71"/>
        <v>2.0073000000000154</v>
      </c>
      <c r="AM86" s="12" t="str">
        <f>IF(V86&lt;=AO$3,VLOOKUP(V86,Kontenplan!$A$9:$D$278,4),"")</f>
        <v/>
      </c>
      <c r="AN86" s="12">
        <f t="shared" si="72"/>
        <v>0</v>
      </c>
      <c r="AO86" s="12" t="str">
        <f t="shared" ca="1" si="73"/>
        <v/>
      </c>
      <c r="AP86" s="46" t="str">
        <f t="shared" ca="1" si="74"/>
        <v/>
      </c>
      <c r="AQ86" s="46" t="str">
        <f t="shared" ca="1" si="75"/>
        <v/>
      </c>
      <c r="AR86" s="46"/>
      <c r="AS86" s="147">
        <f t="shared" ca="1" si="76"/>
        <v>3.0069000000000146</v>
      </c>
      <c r="AT86" s="147">
        <f t="shared" si="77"/>
        <v>2.0074000000000156</v>
      </c>
      <c r="AU86" s="47" t="str">
        <f>IF(V86&lt;=AW$3,VLOOKUP(AO$3+V86,Kontenplan!$A$9:$D$278,4),"")</f>
        <v/>
      </c>
      <c r="AV86" s="12">
        <f t="shared" si="78"/>
        <v>0</v>
      </c>
      <c r="AW86" s="12" t="str">
        <f t="shared" ca="1" si="79"/>
        <v/>
      </c>
      <c r="AX86" s="46" t="str">
        <f t="shared" ca="1" si="47"/>
        <v/>
      </c>
      <c r="AY86" s="46" t="str">
        <f t="shared" ca="1" si="80"/>
        <v/>
      </c>
      <c r="BA86" s="12">
        <f>Kontenplan!R88</f>
        <v>3</v>
      </c>
      <c r="BB86" s="12">
        <f>Kontenplan!S88</f>
        <v>2</v>
      </c>
      <c r="BC86" s="12">
        <f>Kontenplan!T88</f>
        <v>4</v>
      </c>
      <c r="BD86" s="170">
        <f>Kontenplan!U88</f>
        <v>4</v>
      </c>
      <c r="BF86" s="24">
        <f ca="1">SUM(AP$7:AP86)</f>
        <v>0</v>
      </c>
      <c r="BG86" s="46">
        <f ca="1">SUM(AQ$7:AQ85)</f>
        <v>0</v>
      </c>
      <c r="BH86" s="24">
        <f t="shared" ca="1" si="81"/>
        <v>0</v>
      </c>
      <c r="BI86" s="24"/>
      <c r="BJ86" s="24">
        <f ca="1">SUM(AX$7:AX86)</f>
        <v>0</v>
      </c>
      <c r="BK86" s="24">
        <f ca="1">SUM(AY$7:AY85)</f>
        <v>0</v>
      </c>
      <c r="BL86" s="24">
        <f t="shared" ca="1" si="82"/>
        <v>0</v>
      </c>
      <c r="BN86" s="24">
        <f ca="1">SUM(AB$7:AB86)</f>
        <v>0</v>
      </c>
      <c r="BO86" s="46">
        <f ca="1">SUM(AC$7:AC85)</f>
        <v>0</v>
      </c>
      <c r="BP86" s="24">
        <f t="shared" ca="1" si="83"/>
        <v>0</v>
      </c>
      <c r="BR86" s="24">
        <f ca="1">SUM(AH$7:AH86)</f>
        <v>0</v>
      </c>
      <c r="BS86" s="46">
        <f ca="1">SUM(AI$7:AI85)</f>
        <v>0</v>
      </c>
      <c r="BT86" s="24">
        <f t="shared" ca="1" si="84"/>
        <v>0</v>
      </c>
    </row>
    <row r="87" spans="1:72" s="12" customFormat="1">
      <c r="A87" s="202">
        <f>Kontenplan!C89</f>
        <v>0</v>
      </c>
      <c r="B87" s="224">
        <f>Kontenplan!E89</f>
        <v>0</v>
      </c>
      <c r="C87" s="225">
        <f>Kontenplan!F89</f>
        <v>0</v>
      </c>
      <c r="D87" s="43">
        <f>IF(B87=0,0,SUMIF(Journal!$F$7:$F$83,Calc!B87,Journal!$I$7:$I$83))</f>
        <v>0</v>
      </c>
      <c r="E87" s="15">
        <f>IF(B87=0,0,SUMIF(Journal!$G$7:$M161,Calc!B87,Journal!$I$7:$I$83))</f>
        <v>0</v>
      </c>
      <c r="F87" s="44">
        <f t="shared" si="48"/>
        <v>0</v>
      </c>
      <c r="G87" s="15">
        <f t="shared" si="49"/>
        <v>0</v>
      </c>
      <c r="H87" s="14" t="str">
        <f t="shared" si="50"/>
        <v xml:space="preserve"> </v>
      </c>
      <c r="I87" s="43" t="str">
        <f t="shared" si="51"/>
        <v xml:space="preserve"> </v>
      </c>
      <c r="J87" s="45" t="str">
        <f t="shared" si="52"/>
        <v xml:space="preserve"> </v>
      </c>
      <c r="K87" s="48" t="str">
        <f t="shared" si="53"/>
        <v xml:space="preserve"> </v>
      </c>
      <c r="L87" s="45" t="str">
        <f t="shared" si="54"/>
        <v xml:space="preserve"> </v>
      </c>
      <c r="M87" s="48" t="str">
        <f t="shared" si="55"/>
        <v xml:space="preserve"> </v>
      </c>
      <c r="N87" s="24"/>
      <c r="O87" s="12">
        <f t="shared" si="56"/>
        <v>10.014199999999967</v>
      </c>
      <c r="P87" s="12">
        <f t="shared" si="57"/>
        <v>9.0123999999999711</v>
      </c>
      <c r="Q87" s="12">
        <f t="shared" si="58"/>
        <v>31.006199999999986</v>
      </c>
      <c r="R87" s="12">
        <f t="shared" si="59"/>
        <v>29.000399999999999</v>
      </c>
      <c r="S87" s="12">
        <f t="shared" si="60"/>
        <v>0</v>
      </c>
      <c r="T87" s="12">
        <f t="shared" si="61"/>
        <v>0</v>
      </c>
      <c r="U87" s="43">
        <f>IF(OR(A87=Kontenplan!$C$3,A87=Kontenplan!$C$5),F87-G87,G87-F87)</f>
        <v>0</v>
      </c>
      <c r="V87" s="171">
        <f t="shared" si="44"/>
        <v>81</v>
      </c>
      <c r="W87" s="12">
        <f t="shared" si="45"/>
        <v>54</v>
      </c>
      <c r="X87" s="12">
        <f t="shared" si="46"/>
        <v>56</v>
      </c>
      <c r="Y87" s="12">
        <f>IF(Z87=0,VLOOKUP(W87,Kontenplan!$Y$9:$AA$551,3),"")</f>
        <v>0</v>
      </c>
      <c r="Z87" s="12">
        <f t="shared" si="62"/>
        <v>0</v>
      </c>
      <c r="AA87" s="12" t="str">
        <f t="shared" ca="1" si="63"/>
        <v/>
      </c>
      <c r="AB87" s="46" t="str">
        <f t="shared" ca="1" si="64"/>
        <v/>
      </c>
      <c r="AC87" s="46" t="str">
        <f t="shared" ca="1" si="65"/>
        <v/>
      </c>
      <c r="AD87" s="47"/>
      <c r="AE87" s="12">
        <f>IF(AF87=0,VLOOKUP(X87,Kontenplan!$Z$9:$AB$551,3),"")</f>
        <v>0</v>
      </c>
      <c r="AF87" s="47">
        <f t="shared" si="66"/>
        <v>0</v>
      </c>
      <c r="AG87" s="12" t="str">
        <f t="shared" ca="1" si="67"/>
        <v/>
      </c>
      <c r="AH87" s="46" t="str">
        <f t="shared" ca="1" si="68"/>
        <v/>
      </c>
      <c r="AI87" s="46" t="str">
        <f t="shared" ca="1" si="69"/>
        <v/>
      </c>
      <c r="AJ87" s="46"/>
      <c r="AK87" s="147">
        <f t="shared" ca="1" si="70"/>
        <v>2.007100000000015</v>
      </c>
      <c r="AL87" s="147">
        <f t="shared" si="71"/>
        <v>2.0074000000000156</v>
      </c>
      <c r="AM87" s="12" t="str">
        <f>IF(V87&lt;=AO$3,VLOOKUP(V87,Kontenplan!$A$9:$D$278,4),"")</f>
        <v/>
      </c>
      <c r="AN87" s="12">
        <f t="shared" si="72"/>
        <v>0</v>
      </c>
      <c r="AO87" s="12" t="str">
        <f t="shared" ca="1" si="73"/>
        <v/>
      </c>
      <c r="AP87" s="46" t="str">
        <f t="shared" ca="1" si="74"/>
        <v/>
      </c>
      <c r="AQ87" s="46" t="str">
        <f t="shared" ca="1" si="75"/>
        <v/>
      </c>
      <c r="AR87" s="46"/>
      <c r="AS87" s="147">
        <f t="shared" ca="1" si="76"/>
        <v>3.0070000000000148</v>
      </c>
      <c r="AT87" s="147">
        <f t="shared" si="77"/>
        <v>2.0075000000000158</v>
      </c>
      <c r="AU87" s="47" t="str">
        <f>IF(V87&lt;=AW$3,VLOOKUP(AO$3+V87,Kontenplan!$A$9:$D$278,4),"")</f>
        <v/>
      </c>
      <c r="AV87" s="12">
        <f t="shared" si="78"/>
        <v>0</v>
      </c>
      <c r="AW87" s="12" t="str">
        <f t="shared" ca="1" si="79"/>
        <v/>
      </c>
      <c r="AX87" s="46" t="str">
        <f t="shared" ca="1" si="47"/>
        <v/>
      </c>
      <c r="AY87" s="46" t="str">
        <f t="shared" ca="1" si="80"/>
        <v/>
      </c>
      <c r="BA87" s="12">
        <f>Kontenplan!R89</f>
        <v>3</v>
      </c>
      <c r="BB87" s="12">
        <f>Kontenplan!S89</f>
        <v>2</v>
      </c>
      <c r="BC87" s="12">
        <f>Kontenplan!T89</f>
        <v>4</v>
      </c>
      <c r="BD87" s="170">
        <f>Kontenplan!U89</f>
        <v>4</v>
      </c>
      <c r="BF87" s="24">
        <f ca="1">SUM(AP$7:AP87)</f>
        <v>0</v>
      </c>
      <c r="BG87" s="46">
        <f ca="1">SUM(AQ$7:AQ86)</f>
        <v>0</v>
      </c>
      <c r="BH87" s="24">
        <f t="shared" ca="1" si="81"/>
        <v>0</v>
      </c>
      <c r="BI87" s="24"/>
      <c r="BJ87" s="24">
        <f ca="1">SUM(AX$7:AX87)</f>
        <v>0</v>
      </c>
      <c r="BK87" s="24">
        <f ca="1">SUM(AY$7:AY86)</f>
        <v>0</v>
      </c>
      <c r="BL87" s="24">
        <f t="shared" ca="1" si="82"/>
        <v>0</v>
      </c>
      <c r="BN87" s="24">
        <f ca="1">SUM(AB$7:AB87)</f>
        <v>0</v>
      </c>
      <c r="BO87" s="46">
        <f ca="1">SUM(AC$7:AC86)</f>
        <v>0</v>
      </c>
      <c r="BP87" s="24">
        <f t="shared" ca="1" si="83"/>
        <v>0</v>
      </c>
      <c r="BR87" s="24">
        <f ca="1">SUM(AH$7:AH87)</f>
        <v>0</v>
      </c>
      <c r="BS87" s="46">
        <f ca="1">SUM(AI$7:AI86)</f>
        <v>0</v>
      </c>
      <c r="BT87" s="24">
        <f t="shared" ca="1" si="84"/>
        <v>0</v>
      </c>
    </row>
    <row r="88" spans="1:72" s="12" customFormat="1">
      <c r="A88" s="202">
        <f>Kontenplan!C90</f>
        <v>0</v>
      </c>
      <c r="B88" s="224">
        <f>Kontenplan!E90</f>
        <v>0</v>
      </c>
      <c r="C88" s="225">
        <f>Kontenplan!F90</f>
        <v>0</v>
      </c>
      <c r="D88" s="43">
        <f>IF(B88=0,0,SUMIF(Journal!$F$7:$F$83,Calc!B88,Journal!$I$7:$I$83))</f>
        <v>0</v>
      </c>
      <c r="E88" s="15">
        <f>IF(B88=0,0,SUMIF(Journal!$G$7:$M162,Calc!B88,Journal!$I$7:$I$83))</f>
        <v>0</v>
      </c>
      <c r="F88" s="44">
        <f t="shared" si="48"/>
        <v>0</v>
      </c>
      <c r="G88" s="15">
        <f t="shared" si="49"/>
        <v>0</v>
      </c>
      <c r="H88" s="14" t="str">
        <f t="shared" si="50"/>
        <v xml:space="preserve"> </v>
      </c>
      <c r="I88" s="43" t="str">
        <f t="shared" si="51"/>
        <v xml:space="preserve"> </v>
      </c>
      <c r="J88" s="45" t="str">
        <f t="shared" si="52"/>
        <v xml:space="preserve"> </v>
      </c>
      <c r="K88" s="48" t="str">
        <f t="shared" si="53"/>
        <v xml:space="preserve"> </v>
      </c>
      <c r="L88" s="45" t="str">
        <f t="shared" si="54"/>
        <v xml:space="preserve"> </v>
      </c>
      <c r="M88" s="48" t="str">
        <f t="shared" si="55"/>
        <v xml:space="preserve"> </v>
      </c>
      <c r="N88" s="24"/>
      <c r="O88" s="12">
        <f t="shared" si="56"/>
        <v>10.014399999999966</v>
      </c>
      <c r="P88" s="12">
        <f t="shared" si="57"/>
        <v>9.0125999999999706</v>
      </c>
      <c r="Q88" s="12">
        <f t="shared" si="58"/>
        <v>31.006399999999985</v>
      </c>
      <c r="R88" s="12">
        <f t="shared" si="59"/>
        <v>29.000599999999999</v>
      </c>
      <c r="S88" s="12">
        <f t="shared" si="60"/>
        <v>0</v>
      </c>
      <c r="T88" s="12">
        <f t="shared" si="61"/>
        <v>0</v>
      </c>
      <c r="U88" s="43">
        <f>IF(OR(A88=Kontenplan!$C$3,A88=Kontenplan!$C$5),F88-G88,G88-F88)</f>
        <v>0</v>
      </c>
      <c r="V88" s="171">
        <f t="shared" si="44"/>
        <v>82</v>
      </c>
      <c r="W88" s="12">
        <f t="shared" si="45"/>
        <v>55</v>
      </c>
      <c r="X88" s="12">
        <f t="shared" si="46"/>
        <v>57</v>
      </c>
      <c r="Y88" s="12">
        <f>IF(Z88=0,VLOOKUP(W88,Kontenplan!$Y$9:$AA$551,3),"")</f>
        <v>0</v>
      </c>
      <c r="Z88" s="12">
        <f t="shared" si="62"/>
        <v>0</v>
      </c>
      <c r="AA88" s="12" t="str">
        <f t="shared" ca="1" si="63"/>
        <v/>
      </c>
      <c r="AB88" s="46" t="str">
        <f t="shared" ca="1" si="64"/>
        <v/>
      </c>
      <c r="AC88" s="46" t="str">
        <f t="shared" ca="1" si="65"/>
        <v/>
      </c>
      <c r="AD88" s="47"/>
      <c r="AE88" s="12">
        <f>IF(AF88=0,VLOOKUP(X88,Kontenplan!$Z$9:$AB$551,3),"")</f>
        <v>0</v>
      </c>
      <c r="AF88" s="47">
        <f t="shared" si="66"/>
        <v>0</v>
      </c>
      <c r="AG88" s="12" t="str">
        <f t="shared" ca="1" si="67"/>
        <v/>
      </c>
      <c r="AH88" s="46" t="str">
        <f t="shared" ca="1" si="68"/>
        <v/>
      </c>
      <c r="AI88" s="46" t="str">
        <f t="shared" ca="1" si="69"/>
        <v/>
      </c>
      <c r="AJ88" s="46"/>
      <c r="AK88" s="147">
        <f t="shared" ca="1" si="70"/>
        <v>2.0072000000000152</v>
      </c>
      <c r="AL88" s="147">
        <f t="shared" si="71"/>
        <v>2.0075000000000158</v>
      </c>
      <c r="AM88" s="12" t="str">
        <f>IF(V88&lt;=AO$3,VLOOKUP(V88,Kontenplan!$A$9:$D$278,4),"")</f>
        <v/>
      </c>
      <c r="AN88" s="12">
        <f t="shared" si="72"/>
        <v>0</v>
      </c>
      <c r="AO88" s="12" t="str">
        <f t="shared" ca="1" si="73"/>
        <v/>
      </c>
      <c r="AP88" s="46" t="str">
        <f t="shared" ca="1" si="74"/>
        <v/>
      </c>
      <c r="AQ88" s="46" t="str">
        <f t="shared" ca="1" si="75"/>
        <v/>
      </c>
      <c r="AR88" s="46"/>
      <c r="AS88" s="147">
        <f t="shared" ca="1" si="76"/>
        <v>3.007100000000015</v>
      </c>
      <c r="AT88" s="147">
        <f t="shared" si="77"/>
        <v>2.007600000000016</v>
      </c>
      <c r="AU88" s="47" t="str">
        <f>IF(V88&lt;=AW$3,VLOOKUP(AO$3+V88,Kontenplan!$A$9:$D$278,4),"")</f>
        <v/>
      </c>
      <c r="AV88" s="12">
        <f t="shared" si="78"/>
        <v>0</v>
      </c>
      <c r="AW88" s="12" t="str">
        <f t="shared" ca="1" si="79"/>
        <v/>
      </c>
      <c r="AX88" s="46" t="str">
        <f t="shared" ca="1" si="47"/>
        <v/>
      </c>
      <c r="AY88" s="46" t="str">
        <f t="shared" ca="1" si="80"/>
        <v/>
      </c>
      <c r="BA88" s="12">
        <f>Kontenplan!R90</f>
        <v>3</v>
      </c>
      <c r="BB88" s="12">
        <f>Kontenplan!S90</f>
        <v>2</v>
      </c>
      <c r="BC88" s="12">
        <f>Kontenplan!T90</f>
        <v>4</v>
      </c>
      <c r="BD88" s="170">
        <f>Kontenplan!U90</f>
        <v>4</v>
      </c>
      <c r="BF88" s="24">
        <f ca="1">SUM(AP$7:AP88)</f>
        <v>0</v>
      </c>
      <c r="BG88" s="46">
        <f ca="1">SUM(AQ$7:AQ87)</f>
        <v>0</v>
      </c>
      <c r="BH88" s="24">
        <f t="shared" ca="1" si="81"/>
        <v>0</v>
      </c>
      <c r="BI88" s="24"/>
      <c r="BJ88" s="24">
        <f ca="1">SUM(AX$7:AX88)</f>
        <v>0</v>
      </c>
      <c r="BK88" s="24">
        <f ca="1">SUM(AY$7:AY87)</f>
        <v>0</v>
      </c>
      <c r="BL88" s="24">
        <f t="shared" ca="1" si="82"/>
        <v>0</v>
      </c>
      <c r="BN88" s="24">
        <f ca="1">SUM(AB$7:AB88)</f>
        <v>0</v>
      </c>
      <c r="BO88" s="46">
        <f ca="1">SUM(AC$7:AC87)</f>
        <v>0</v>
      </c>
      <c r="BP88" s="24">
        <f t="shared" ca="1" si="83"/>
        <v>0</v>
      </c>
      <c r="BR88" s="24">
        <f ca="1">SUM(AH$7:AH88)</f>
        <v>0</v>
      </c>
      <c r="BS88" s="46">
        <f ca="1">SUM(AI$7:AI87)</f>
        <v>0</v>
      </c>
      <c r="BT88" s="24">
        <f t="shared" ca="1" si="84"/>
        <v>0</v>
      </c>
    </row>
    <row r="89" spans="1:72" s="12" customFormat="1">
      <c r="A89" s="202">
        <f>Kontenplan!C91</f>
        <v>0</v>
      </c>
      <c r="B89" s="224">
        <f>Kontenplan!E91</f>
        <v>0</v>
      </c>
      <c r="C89" s="225">
        <f>Kontenplan!F91</f>
        <v>0</v>
      </c>
      <c r="D89" s="43">
        <f>IF(B89=0,0,SUMIF(Journal!$F$7:$F$83,Calc!B89,Journal!$I$7:$I$83))</f>
        <v>0</v>
      </c>
      <c r="E89" s="15">
        <f>IF(B89=0,0,SUMIF(Journal!$G$7:$M163,Calc!B89,Journal!$I$7:$I$83))</f>
        <v>0</v>
      </c>
      <c r="F89" s="44">
        <f t="shared" si="48"/>
        <v>0</v>
      </c>
      <c r="G89" s="15">
        <f t="shared" si="49"/>
        <v>0</v>
      </c>
      <c r="H89" s="14" t="str">
        <f t="shared" si="50"/>
        <v xml:space="preserve"> </v>
      </c>
      <c r="I89" s="43" t="str">
        <f t="shared" si="51"/>
        <v xml:space="preserve"> </v>
      </c>
      <c r="J89" s="45" t="str">
        <f t="shared" si="52"/>
        <v xml:space="preserve"> </v>
      </c>
      <c r="K89" s="48" t="str">
        <f t="shared" si="53"/>
        <v xml:space="preserve"> </v>
      </c>
      <c r="L89" s="45" t="str">
        <f t="shared" si="54"/>
        <v xml:space="preserve"> </v>
      </c>
      <c r="M89" s="48" t="str">
        <f t="shared" si="55"/>
        <v xml:space="preserve"> </v>
      </c>
      <c r="N89" s="24"/>
      <c r="O89" s="12">
        <f t="shared" si="56"/>
        <v>10.014599999999966</v>
      </c>
      <c r="P89" s="12">
        <f t="shared" si="57"/>
        <v>9.0127999999999702</v>
      </c>
      <c r="Q89" s="12">
        <f t="shared" si="58"/>
        <v>31.006599999999985</v>
      </c>
      <c r="R89" s="12">
        <f t="shared" si="59"/>
        <v>29.000799999999998</v>
      </c>
      <c r="S89" s="12">
        <f t="shared" si="60"/>
        <v>0</v>
      </c>
      <c r="T89" s="12">
        <f t="shared" si="61"/>
        <v>0</v>
      </c>
      <c r="U89" s="43">
        <f>IF(OR(A89=Kontenplan!$C$3,A89=Kontenplan!$C$5),F89-G89,G89-F89)</f>
        <v>0</v>
      </c>
      <c r="V89" s="171">
        <f t="shared" si="44"/>
        <v>83</v>
      </c>
      <c r="W89" s="12">
        <f t="shared" si="45"/>
        <v>56</v>
      </c>
      <c r="X89" s="12">
        <f t="shared" si="46"/>
        <v>58</v>
      </c>
      <c r="Y89" s="12">
        <f>IF(Z89=0,VLOOKUP(W89,Kontenplan!$Y$9:$AA$551,3),"")</f>
        <v>0</v>
      </c>
      <c r="Z89" s="12">
        <f t="shared" si="62"/>
        <v>0</v>
      </c>
      <c r="AA89" s="12" t="str">
        <f t="shared" ca="1" si="63"/>
        <v/>
      </c>
      <c r="AB89" s="46" t="str">
        <f t="shared" ca="1" si="64"/>
        <v/>
      </c>
      <c r="AC89" s="46" t="str">
        <f t="shared" ca="1" si="65"/>
        <v/>
      </c>
      <c r="AD89" s="47"/>
      <c r="AE89" s="12">
        <f>IF(AF89=0,VLOOKUP(X89,Kontenplan!$Z$9:$AB$551,3),"")</f>
        <v>0</v>
      </c>
      <c r="AF89" s="47">
        <f t="shared" si="66"/>
        <v>0</v>
      </c>
      <c r="AG89" s="12" t="str">
        <f t="shared" ca="1" si="67"/>
        <v/>
      </c>
      <c r="AH89" s="46" t="str">
        <f t="shared" ca="1" si="68"/>
        <v/>
      </c>
      <c r="AI89" s="46" t="str">
        <f t="shared" ca="1" si="69"/>
        <v/>
      </c>
      <c r="AJ89" s="46"/>
      <c r="AK89" s="147">
        <f t="shared" ca="1" si="70"/>
        <v>2.0073000000000154</v>
      </c>
      <c r="AL89" s="147">
        <f t="shared" si="71"/>
        <v>2.007600000000016</v>
      </c>
      <c r="AM89" s="12" t="str">
        <f>IF(V89&lt;=AO$3,VLOOKUP(V89,Kontenplan!$A$9:$D$278,4),"")</f>
        <v/>
      </c>
      <c r="AN89" s="12">
        <f t="shared" si="72"/>
        <v>0</v>
      </c>
      <c r="AO89" s="12" t="str">
        <f t="shared" ca="1" si="73"/>
        <v/>
      </c>
      <c r="AP89" s="46" t="str">
        <f t="shared" ca="1" si="74"/>
        <v/>
      </c>
      <c r="AQ89" s="46" t="str">
        <f t="shared" ca="1" si="75"/>
        <v/>
      </c>
      <c r="AR89" s="46"/>
      <c r="AS89" s="147">
        <f t="shared" ca="1" si="76"/>
        <v>3.0072000000000152</v>
      </c>
      <c r="AT89" s="147">
        <f t="shared" si="77"/>
        <v>2.0077000000000162</v>
      </c>
      <c r="AU89" s="47" t="str">
        <f>IF(V89&lt;=AW$3,VLOOKUP(AO$3+V89,Kontenplan!$A$9:$D$278,4),"")</f>
        <v/>
      </c>
      <c r="AV89" s="12">
        <f t="shared" si="78"/>
        <v>0</v>
      </c>
      <c r="AW89" s="12" t="str">
        <f t="shared" ca="1" si="79"/>
        <v/>
      </c>
      <c r="AX89" s="46" t="str">
        <f t="shared" ca="1" si="47"/>
        <v/>
      </c>
      <c r="AY89" s="46" t="str">
        <f t="shared" ca="1" si="80"/>
        <v/>
      </c>
      <c r="BA89" s="12">
        <f>Kontenplan!R91</f>
        <v>3</v>
      </c>
      <c r="BB89" s="12">
        <f>Kontenplan!S91</f>
        <v>2</v>
      </c>
      <c r="BC89" s="12">
        <f>Kontenplan!T91</f>
        <v>4</v>
      </c>
      <c r="BD89" s="170">
        <f>Kontenplan!U91</f>
        <v>4</v>
      </c>
      <c r="BF89" s="24">
        <f ca="1">SUM(AP$7:AP89)</f>
        <v>0</v>
      </c>
      <c r="BG89" s="46">
        <f ca="1">SUM(AQ$7:AQ88)</f>
        <v>0</v>
      </c>
      <c r="BH89" s="24">
        <f t="shared" ca="1" si="81"/>
        <v>0</v>
      </c>
      <c r="BI89" s="24"/>
      <c r="BJ89" s="24">
        <f ca="1">SUM(AX$7:AX89)</f>
        <v>0</v>
      </c>
      <c r="BK89" s="24">
        <f ca="1">SUM(AY$7:AY88)</f>
        <v>0</v>
      </c>
      <c r="BL89" s="24">
        <f t="shared" ca="1" si="82"/>
        <v>0</v>
      </c>
      <c r="BN89" s="24">
        <f ca="1">SUM(AB$7:AB89)</f>
        <v>0</v>
      </c>
      <c r="BO89" s="46">
        <f ca="1">SUM(AC$7:AC88)</f>
        <v>0</v>
      </c>
      <c r="BP89" s="24">
        <f t="shared" ca="1" si="83"/>
        <v>0</v>
      </c>
      <c r="BR89" s="24">
        <f ca="1">SUM(AH$7:AH89)</f>
        <v>0</v>
      </c>
      <c r="BS89" s="46">
        <f ca="1">SUM(AI$7:AI88)</f>
        <v>0</v>
      </c>
      <c r="BT89" s="24">
        <f t="shared" ca="1" si="84"/>
        <v>0</v>
      </c>
    </row>
    <row r="90" spans="1:72" s="12" customFormat="1">
      <c r="A90" s="202">
        <f>Kontenplan!C92</f>
        <v>0</v>
      </c>
      <c r="B90" s="224">
        <f>Kontenplan!E92</f>
        <v>0</v>
      </c>
      <c r="C90" s="225">
        <f>Kontenplan!F92</f>
        <v>0</v>
      </c>
      <c r="D90" s="43">
        <f>IF(B90=0,0,SUMIF(Journal!$F$7:$F$83,Calc!B90,Journal!$I$7:$I$83))</f>
        <v>0</v>
      </c>
      <c r="E90" s="15">
        <f>IF(B90=0,0,SUMIF(Journal!$G$7:$M164,Calc!B90,Journal!$I$7:$I$83))</f>
        <v>0</v>
      </c>
      <c r="F90" s="44">
        <f t="shared" si="48"/>
        <v>0</v>
      </c>
      <c r="G90" s="15">
        <f t="shared" si="49"/>
        <v>0</v>
      </c>
      <c r="H90" s="14" t="str">
        <f t="shared" si="50"/>
        <v xml:space="preserve"> </v>
      </c>
      <c r="I90" s="43" t="str">
        <f t="shared" si="51"/>
        <v xml:space="preserve"> </v>
      </c>
      <c r="J90" s="45" t="str">
        <f t="shared" si="52"/>
        <v xml:space="preserve"> </v>
      </c>
      <c r="K90" s="48" t="str">
        <f t="shared" si="53"/>
        <v xml:space="preserve"> </v>
      </c>
      <c r="L90" s="45" t="str">
        <f t="shared" si="54"/>
        <v xml:space="preserve"> </v>
      </c>
      <c r="M90" s="48" t="str">
        <f t="shared" si="55"/>
        <v xml:space="preserve"> </v>
      </c>
      <c r="N90" s="24"/>
      <c r="O90" s="12">
        <f t="shared" si="56"/>
        <v>10.014799999999966</v>
      </c>
      <c r="P90" s="12">
        <f t="shared" si="57"/>
        <v>9.0129999999999697</v>
      </c>
      <c r="Q90" s="12">
        <f t="shared" si="58"/>
        <v>31.006799999999984</v>
      </c>
      <c r="R90" s="12">
        <f t="shared" si="59"/>
        <v>29.000999999999998</v>
      </c>
      <c r="S90" s="12">
        <f t="shared" si="60"/>
        <v>0</v>
      </c>
      <c r="T90" s="12">
        <f t="shared" si="61"/>
        <v>0</v>
      </c>
      <c r="U90" s="43">
        <f>IF(OR(A90=Kontenplan!$C$3,A90=Kontenplan!$C$5),F90-G90,G90-F90)</f>
        <v>0</v>
      </c>
      <c r="V90" s="171">
        <f t="shared" si="44"/>
        <v>84</v>
      </c>
      <c r="W90" s="12">
        <f t="shared" si="45"/>
        <v>57</v>
      </c>
      <c r="X90" s="12">
        <f t="shared" si="46"/>
        <v>59</v>
      </c>
      <c r="Y90" s="12">
        <f>IF(Z90=0,VLOOKUP(W90,Kontenplan!$Y$9:$AA$551,3),"")</f>
        <v>0</v>
      </c>
      <c r="Z90" s="12">
        <f t="shared" si="62"/>
        <v>0</v>
      </c>
      <c r="AA90" s="12" t="str">
        <f t="shared" ca="1" si="63"/>
        <v/>
      </c>
      <c r="AB90" s="46" t="str">
        <f t="shared" ca="1" si="64"/>
        <v/>
      </c>
      <c r="AC90" s="46" t="str">
        <f t="shared" ca="1" si="65"/>
        <v/>
      </c>
      <c r="AD90" s="47"/>
      <c r="AE90" s="12">
        <f>IF(AF90=0,VLOOKUP(X90,Kontenplan!$Z$9:$AB$551,3),"")</f>
        <v>0</v>
      </c>
      <c r="AF90" s="47">
        <f t="shared" si="66"/>
        <v>0</v>
      </c>
      <c r="AG90" s="12" t="str">
        <f t="shared" ca="1" si="67"/>
        <v/>
      </c>
      <c r="AH90" s="46" t="str">
        <f t="shared" ca="1" si="68"/>
        <v/>
      </c>
      <c r="AI90" s="46" t="str">
        <f t="shared" ca="1" si="69"/>
        <v/>
      </c>
      <c r="AJ90" s="46"/>
      <c r="AK90" s="147">
        <f t="shared" ca="1" si="70"/>
        <v>2.0074000000000156</v>
      </c>
      <c r="AL90" s="147">
        <f t="shared" si="71"/>
        <v>2.0077000000000162</v>
      </c>
      <c r="AM90" s="12" t="str">
        <f>IF(V90&lt;=AO$3,VLOOKUP(V90,Kontenplan!$A$9:$D$278,4),"")</f>
        <v/>
      </c>
      <c r="AN90" s="12">
        <f t="shared" si="72"/>
        <v>0</v>
      </c>
      <c r="AO90" s="12" t="str">
        <f t="shared" ca="1" si="73"/>
        <v/>
      </c>
      <c r="AP90" s="46" t="str">
        <f t="shared" ca="1" si="74"/>
        <v/>
      </c>
      <c r="AQ90" s="46" t="str">
        <f t="shared" ca="1" si="75"/>
        <v/>
      </c>
      <c r="AR90" s="46"/>
      <c r="AS90" s="147">
        <f t="shared" ca="1" si="76"/>
        <v>3.0073000000000154</v>
      </c>
      <c r="AT90" s="147">
        <f t="shared" si="77"/>
        <v>2.0078000000000165</v>
      </c>
      <c r="AU90" s="47" t="str">
        <f>IF(V90&lt;=AW$3,VLOOKUP(AO$3+V90,Kontenplan!$A$9:$D$278,4),"")</f>
        <v/>
      </c>
      <c r="AV90" s="12">
        <f t="shared" si="78"/>
        <v>0</v>
      </c>
      <c r="AW90" s="12" t="str">
        <f t="shared" ca="1" si="79"/>
        <v/>
      </c>
      <c r="AX90" s="46" t="str">
        <f t="shared" ca="1" si="47"/>
        <v/>
      </c>
      <c r="AY90" s="46" t="str">
        <f t="shared" ca="1" si="80"/>
        <v/>
      </c>
      <c r="BA90" s="12">
        <f>Kontenplan!R92</f>
        <v>3</v>
      </c>
      <c r="BB90" s="12">
        <f>Kontenplan!S92</f>
        <v>2</v>
      </c>
      <c r="BC90" s="12">
        <f>Kontenplan!T92</f>
        <v>4</v>
      </c>
      <c r="BD90" s="170">
        <f>Kontenplan!U92</f>
        <v>4</v>
      </c>
      <c r="BF90" s="24">
        <f ca="1">SUM(AP$7:AP90)</f>
        <v>0</v>
      </c>
      <c r="BG90" s="46">
        <f ca="1">SUM(AQ$7:AQ89)</f>
        <v>0</v>
      </c>
      <c r="BH90" s="24">
        <f t="shared" ca="1" si="81"/>
        <v>0</v>
      </c>
      <c r="BI90" s="24"/>
      <c r="BJ90" s="24">
        <f ca="1">SUM(AX$7:AX90)</f>
        <v>0</v>
      </c>
      <c r="BK90" s="24">
        <f ca="1">SUM(AY$7:AY89)</f>
        <v>0</v>
      </c>
      <c r="BL90" s="24">
        <f t="shared" ca="1" si="82"/>
        <v>0</v>
      </c>
      <c r="BN90" s="24">
        <f ca="1">SUM(AB$7:AB90)</f>
        <v>0</v>
      </c>
      <c r="BO90" s="46">
        <f ca="1">SUM(AC$7:AC89)</f>
        <v>0</v>
      </c>
      <c r="BP90" s="24">
        <f t="shared" ca="1" si="83"/>
        <v>0</v>
      </c>
      <c r="BR90" s="24">
        <f ca="1">SUM(AH$7:AH90)</f>
        <v>0</v>
      </c>
      <c r="BS90" s="46">
        <f ca="1">SUM(AI$7:AI89)</f>
        <v>0</v>
      </c>
      <c r="BT90" s="24">
        <f t="shared" ca="1" si="84"/>
        <v>0</v>
      </c>
    </row>
    <row r="91" spans="1:72" s="12" customFormat="1">
      <c r="A91" s="202">
        <f>Kontenplan!C93</f>
        <v>0</v>
      </c>
      <c r="B91" s="224">
        <f>Kontenplan!E93</f>
        <v>0</v>
      </c>
      <c r="C91" s="225">
        <f>Kontenplan!F93</f>
        <v>0</v>
      </c>
      <c r="D91" s="43">
        <f>IF(B91=0,0,SUMIF(Journal!$F$7:$F$83,Calc!B91,Journal!$I$7:$I$83))</f>
        <v>0</v>
      </c>
      <c r="E91" s="15">
        <f>IF(B91=0,0,SUMIF(Journal!$G$7:$M165,Calc!B91,Journal!$I$7:$I$83))</f>
        <v>0</v>
      </c>
      <c r="F91" s="44">
        <f t="shared" si="48"/>
        <v>0</v>
      </c>
      <c r="G91" s="15">
        <f t="shared" si="49"/>
        <v>0</v>
      </c>
      <c r="H91" s="14" t="str">
        <f t="shared" si="50"/>
        <v xml:space="preserve"> </v>
      </c>
      <c r="I91" s="43" t="str">
        <f t="shared" si="51"/>
        <v xml:space="preserve"> </v>
      </c>
      <c r="J91" s="45" t="str">
        <f t="shared" si="52"/>
        <v xml:space="preserve"> </v>
      </c>
      <c r="K91" s="48" t="str">
        <f t="shared" si="53"/>
        <v xml:space="preserve"> </v>
      </c>
      <c r="L91" s="45" t="str">
        <f t="shared" si="54"/>
        <v xml:space="preserve"> </v>
      </c>
      <c r="M91" s="48" t="str">
        <f t="shared" si="55"/>
        <v xml:space="preserve"> </v>
      </c>
      <c r="N91" s="24"/>
      <c r="O91" s="12">
        <f t="shared" si="56"/>
        <v>10.014999999999965</v>
      </c>
      <c r="P91" s="12">
        <f t="shared" si="57"/>
        <v>9.0131999999999692</v>
      </c>
      <c r="Q91" s="12">
        <f t="shared" si="58"/>
        <v>31.006999999999984</v>
      </c>
      <c r="R91" s="12">
        <f t="shared" si="59"/>
        <v>29.001199999999997</v>
      </c>
      <c r="S91" s="12">
        <f t="shared" si="60"/>
        <v>0</v>
      </c>
      <c r="T91" s="12">
        <f t="shared" si="61"/>
        <v>0</v>
      </c>
      <c r="U91" s="43">
        <f>IF(OR(A91=Kontenplan!$C$3,A91=Kontenplan!$C$5),F91-G91,G91-F91)</f>
        <v>0</v>
      </c>
      <c r="V91" s="171">
        <f t="shared" si="44"/>
        <v>85</v>
      </c>
      <c r="W91" s="12">
        <f t="shared" si="45"/>
        <v>58</v>
      </c>
      <c r="X91" s="12">
        <f t="shared" si="46"/>
        <v>60</v>
      </c>
      <c r="Y91" s="12">
        <f>IF(Z91=0,VLOOKUP(W91,Kontenplan!$Y$9:$AA$551,3),"")</f>
        <v>0</v>
      </c>
      <c r="Z91" s="12">
        <f t="shared" si="62"/>
        <v>0</v>
      </c>
      <c r="AA91" s="12" t="str">
        <f t="shared" ca="1" si="63"/>
        <v/>
      </c>
      <c r="AB91" s="46" t="str">
        <f t="shared" ca="1" si="64"/>
        <v/>
      </c>
      <c r="AC91" s="46" t="str">
        <f t="shared" ca="1" si="65"/>
        <v/>
      </c>
      <c r="AD91" s="47"/>
      <c r="AE91" s="12">
        <f>IF(AF91=0,VLOOKUP(X91,Kontenplan!$Z$9:$AB$551,3),"")</f>
        <v>0</v>
      </c>
      <c r="AF91" s="47">
        <f t="shared" si="66"/>
        <v>0</v>
      </c>
      <c r="AG91" s="12" t="str">
        <f t="shared" ca="1" si="67"/>
        <v/>
      </c>
      <c r="AH91" s="46" t="str">
        <f t="shared" ca="1" si="68"/>
        <v/>
      </c>
      <c r="AI91" s="46" t="str">
        <f t="shared" ca="1" si="69"/>
        <v/>
      </c>
      <c r="AJ91" s="46"/>
      <c r="AK91" s="147">
        <f t="shared" ca="1" si="70"/>
        <v>2.0075000000000158</v>
      </c>
      <c r="AL91" s="147">
        <f t="shared" si="71"/>
        <v>2.0078000000000165</v>
      </c>
      <c r="AM91" s="12" t="str">
        <f>IF(V91&lt;=AO$3,VLOOKUP(V91,Kontenplan!$A$9:$D$278,4),"")</f>
        <v/>
      </c>
      <c r="AN91" s="12">
        <f t="shared" si="72"/>
        <v>0</v>
      </c>
      <c r="AO91" s="12" t="str">
        <f t="shared" ca="1" si="73"/>
        <v/>
      </c>
      <c r="AP91" s="46" t="str">
        <f t="shared" ca="1" si="74"/>
        <v/>
      </c>
      <c r="AQ91" s="46" t="str">
        <f t="shared" ca="1" si="75"/>
        <v/>
      </c>
      <c r="AR91" s="46"/>
      <c r="AS91" s="147">
        <f t="shared" ca="1" si="76"/>
        <v>3.0074000000000156</v>
      </c>
      <c r="AT91" s="147">
        <f t="shared" si="77"/>
        <v>2.0079000000000167</v>
      </c>
      <c r="AU91" s="47" t="str">
        <f>IF(V91&lt;=AW$3,VLOOKUP(AO$3+V91,Kontenplan!$A$9:$D$278,4),"")</f>
        <v/>
      </c>
      <c r="AV91" s="12">
        <f t="shared" si="78"/>
        <v>0</v>
      </c>
      <c r="AW91" s="12" t="str">
        <f t="shared" ca="1" si="79"/>
        <v/>
      </c>
      <c r="AX91" s="46" t="str">
        <f t="shared" ca="1" si="47"/>
        <v/>
      </c>
      <c r="AY91" s="46" t="str">
        <f t="shared" ca="1" si="80"/>
        <v/>
      </c>
      <c r="BA91" s="12">
        <f>Kontenplan!R93</f>
        <v>3</v>
      </c>
      <c r="BB91" s="12">
        <f>Kontenplan!S93</f>
        <v>2</v>
      </c>
      <c r="BC91" s="12">
        <f>Kontenplan!T93</f>
        <v>4</v>
      </c>
      <c r="BD91" s="170">
        <f>Kontenplan!U93</f>
        <v>4</v>
      </c>
      <c r="BF91" s="24">
        <f ca="1">SUM(AP$7:AP91)</f>
        <v>0</v>
      </c>
      <c r="BG91" s="46">
        <f ca="1">SUM(AQ$7:AQ90)</f>
        <v>0</v>
      </c>
      <c r="BH91" s="24">
        <f t="shared" ca="1" si="81"/>
        <v>0</v>
      </c>
      <c r="BI91" s="24"/>
      <c r="BJ91" s="24">
        <f ca="1">SUM(AX$7:AX91)</f>
        <v>0</v>
      </c>
      <c r="BK91" s="24">
        <f ca="1">SUM(AY$7:AY90)</f>
        <v>0</v>
      </c>
      <c r="BL91" s="24">
        <f t="shared" ca="1" si="82"/>
        <v>0</v>
      </c>
      <c r="BN91" s="24">
        <f ca="1">SUM(AB$7:AB91)</f>
        <v>0</v>
      </c>
      <c r="BO91" s="46">
        <f ca="1">SUM(AC$7:AC90)</f>
        <v>0</v>
      </c>
      <c r="BP91" s="24">
        <f t="shared" ca="1" si="83"/>
        <v>0</v>
      </c>
      <c r="BR91" s="24">
        <f ca="1">SUM(AH$7:AH91)</f>
        <v>0</v>
      </c>
      <c r="BS91" s="46">
        <f ca="1">SUM(AI$7:AI90)</f>
        <v>0</v>
      </c>
      <c r="BT91" s="24">
        <f t="shared" ca="1" si="84"/>
        <v>0</v>
      </c>
    </row>
    <row r="92" spans="1:72" s="12" customFormat="1">
      <c r="A92" s="202">
        <f>Kontenplan!C94</f>
        <v>0</v>
      </c>
      <c r="B92" s="224">
        <f>Kontenplan!E94</f>
        <v>0</v>
      </c>
      <c r="C92" s="225">
        <f>Kontenplan!F94</f>
        <v>0</v>
      </c>
      <c r="D92" s="43">
        <f>IF(B92=0,0,SUMIF(Journal!$F$7:$F$83,Calc!B92,Journal!$I$7:$I$83))</f>
        <v>0</v>
      </c>
      <c r="E92" s="15">
        <f>IF(B92=0,0,SUMIF(Journal!$G$7:$M166,Calc!B92,Journal!$I$7:$I$83))</f>
        <v>0</v>
      </c>
      <c r="F92" s="44">
        <f t="shared" si="48"/>
        <v>0</v>
      </c>
      <c r="G92" s="15">
        <f t="shared" si="49"/>
        <v>0</v>
      </c>
      <c r="H92" s="14" t="str">
        <f t="shared" si="50"/>
        <v xml:space="preserve"> </v>
      </c>
      <c r="I92" s="43" t="str">
        <f t="shared" si="51"/>
        <v xml:space="preserve"> </v>
      </c>
      <c r="J92" s="45" t="str">
        <f t="shared" si="52"/>
        <v xml:space="preserve"> </v>
      </c>
      <c r="K92" s="48" t="str">
        <f t="shared" si="53"/>
        <v xml:space="preserve"> </v>
      </c>
      <c r="L92" s="45" t="str">
        <f t="shared" si="54"/>
        <v xml:space="preserve"> </v>
      </c>
      <c r="M92" s="48" t="str">
        <f t="shared" si="55"/>
        <v xml:space="preserve"> </v>
      </c>
      <c r="N92" s="24"/>
      <c r="O92" s="12">
        <f t="shared" si="56"/>
        <v>10.015199999999965</v>
      </c>
      <c r="P92" s="12">
        <f t="shared" si="57"/>
        <v>9.0133999999999688</v>
      </c>
      <c r="Q92" s="12">
        <f t="shared" si="58"/>
        <v>31.007199999999983</v>
      </c>
      <c r="R92" s="12">
        <f t="shared" si="59"/>
        <v>29.001399999999997</v>
      </c>
      <c r="S92" s="12">
        <f t="shared" si="60"/>
        <v>0</v>
      </c>
      <c r="T92" s="12">
        <f t="shared" si="61"/>
        <v>0</v>
      </c>
      <c r="U92" s="43">
        <f>IF(OR(A92=Kontenplan!$C$3,A92=Kontenplan!$C$5),F92-G92,G92-F92)</f>
        <v>0</v>
      </c>
      <c r="V92" s="171">
        <f t="shared" si="44"/>
        <v>86</v>
      </c>
      <c r="W92" s="12">
        <f t="shared" si="45"/>
        <v>59</v>
      </c>
      <c r="X92" s="12">
        <f t="shared" si="46"/>
        <v>61</v>
      </c>
      <c r="Y92" s="12">
        <f>IF(Z92=0,VLOOKUP(W92,Kontenplan!$Y$9:$AA$551,3),"")</f>
        <v>0</v>
      </c>
      <c r="Z92" s="12">
        <f t="shared" si="62"/>
        <v>0</v>
      </c>
      <c r="AA92" s="12" t="str">
        <f t="shared" ca="1" si="63"/>
        <v/>
      </c>
      <c r="AB92" s="46" t="str">
        <f t="shared" ca="1" si="64"/>
        <v/>
      </c>
      <c r="AC92" s="46" t="str">
        <f t="shared" ca="1" si="65"/>
        <v/>
      </c>
      <c r="AD92" s="47"/>
      <c r="AE92" s="12">
        <f>IF(AF92=0,VLOOKUP(X92,Kontenplan!$Z$9:$AB$551,3),"")</f>
        <v>0</v>
      </c>
      <c r="AF92" s="47">
        <f t="shared" si="66"/>
        <v>0</v>
      </c>
      <c r="AG92" s="12" t="str">
        <f t="shared" ca="1" si="67"/>
        <v/>
      </c>
      <c r="AH92" s="46" t="str">
        <f t="shared" ca="1" si="68"/>
        <v/>
      </c>
      <c r="AI92" s="46" t="str">
        <f t="shared" ca="1" si="69"/>
        <v/>
      </c>
      <c r="AJ92" s="46"/>
      <c r="AK92" s="147">
        <f t="shared" ca="1" si="70"/>
        <v>2.007600000000016</v>
      </c>
      <c r="AL92" s="147">
        <f t="shared" si="71"/>
        <v>2.0079000000000167</v>
      </c>
      <c r="AM92" s="12" t="str">
        <f>IF(V92&lt;=AO$3,VLOOKUP(V92,Kontenplan!$A$9:$D$278,4),"")</f>
        <v/>
      </c>
      <c r="AN92" s="12">
        <f t="shared" si="72"/>
        <v>0</v>
      </c>
      <c r="AO92" s="12" t="str">
        <f t="shared" ca="1" si="73"/>
        <v/>
      </c>
      <c r="AP92" s="46" t="str">
        <f t="shared" ca="1" si="74"/>
        <v/>
      </c>
      <c r="AQ92" s="46" t="str">
        <f t="shared" ca="1" si="75"/>
        <v/>
      </c>
      <c r="AR92" s="46"/>
      <c r="AS92" s="147">
        <f t="shared" ca="1" si="76"/>
        <v>3.0075000000000158</v>
      </c>
      <c r="AT92" s="147">
        <f t="shared" si="77"/>
        <v>2.0080000000000169</v>
      </c>
      <c r="AU92" s="47" t="str">
        <f>IF(V92&lt;=AW$3,VLOOKUP(AO$3+V92,Kontenplan!$A$9:$D$278,4),"")</f>
        <v/>
      </c>
      <c r="AV92" s="12">
        <f t="shared" si="78"/>
        <v>0</v>
      </c>
      <c r="AW92" s="12" t="str">
        <f t="shared" ca="1" si="79"/>
        <v/>
      </c>
      <c r="AX92" s="46" t="str">
        <f t="shared" ca="1" si="47"/>
        <v/>
      </c>
      <c r="AY92" s="46" t="str">
        <f t="shared" ca="1" si="80"/>
        <v/>
      </c>
      <c r="BA92" s="12">
        <f>Kontenplan!R94</f>
        <v>3</v>
      </c>
      <c r="BB92" s="12">
        <f>Kontenplan!S94</f>
        <v>2</v>
      </c>
      <c r="BC92" s="12">
        <f>Kontenplan!T94</f>
        <v>4</v>
      </c>
      <c r="BD92" s="170">
        <f>Kontenplan!U94</f>
        <v>4</v>
      </c>
      <c r="BF92" s="24">
        <f ca="1">SUM(AP$7:AP92)</f>
        <v>0</v>
      </c>
      <c r="BG92" s="46">
        <f ca="1">SUM(AQ$7:AQ91)</f>
        <v>0</v>
      </c>
      <c r="BH92" s="24">
        <f t="shared" ca="1" si="81"/>
        <v>0</v>
      </c>
      <c r="BI92" s="24"/>
      <c r="BJ92" s="24">
        <f ca="1">SUM(AX$7:AX92)</f>
        <v>0</v>
      </c>
      <c r="BK92" s="24">
        <f ca="1">SUM(AY$7:AY91)</f>
        <v>0</v>
      </c>
      <c r="BL92" s="24">
        <f t="shared" ca="1" si="82"/>
        <v>0</v>
      </c>
      <c r="BN92" s="24">
        <f ca="1">SUM(AB$7:AB92)</f>
        <v>0</v>
      </c>
      <c r="BO92" s="46">
        <f ca="1">SUM(AC$7:AC91)</f>
        <v>0</v>
      </c>
      <c r="BP92" s="24">
        <f t="shared" ca="1" si="83"/>
        <v>0</v>
      </c>
      <c r="BR92" s="24">
        <f ca="1">SUM(AH$7:AH92)</f>
        <v>0</v>
      </c>
      <c r="BS92" s="46">
        <f ca="1">SUM(AI$7:AI91)</f>
        <v>0</v>
      </c>
      <c r="BT92" s="24">
        <f t="shared" ca="1" si="84"/>
        <v>0</v>
      </c>
    </row>
    <row r="93" spans="1:72" s="12" customFormat="1">
      <c r="A93" s="202">
        <f>Kontenplan!C95</f>
        <v>0</v>
      </c>
      <c r="B93" s="224">
        <f>Kontenplan!E95</f>
        <v>0</v>
      </c>
      <c r="C93" s="225">
        <f>Kontenplan!F95</f>
        <v>0</v>
      </c>
      <c r="D93" s="43">
        <f>IF(B93=0,0,SUMIF(Journal!$F$7:$F$83,Calc!B93,Journal!$I$7:$I$83))</f>
        <v>0</v>
      </c>
      <c r="E93" s="15">
        <f>IF(B93=0,0,SUMIF(Journal!$G$7:$M167,Calc!B93,Journal!$I$7:$I$83))</f>
        <v>0</v>
      </c>
      <c r="F93" s="44">
        <f t="shared" si="48"/>
        <v>0</v>
      </c>
      <c r="G93" s="15">
        <f t="shared" si="49"/>
        <v>0</v>
      </c>
      <c r="H93" s="14" t="str">
        <f t="shared" si="50"/>
        <v xml:space="preserve"> </v>
      </c>
      <c r="I93" s="43" t="str">
        <f t="shared" si="51"/>
        <v xml:space="preserve"> </v>
      </c>
      <c r="J93" s="45" t="str">
        <f t="shared" si="52"/>
        <v xml:space="preserve"> </v>
      </c>
      <c r="K93" s="48" t="str">
        <f t="shared" si="53"/>
        <v xml:space="preserve"> </v>
      </c>
      <c r="L93" s="45" t="str">
        <f t="shared" si="54"/>
        <v xml:space="preserve"> </v>
      </c>
      <c r="M93" s="48" t="str">
        <f t="shared" si="55"/>
        <v xml:space="preserve"> </v>
      </c>
      <c r="N93" s="24"/>
      <c r="O93" s="12">
        <f t="shared" si="56"/>
        <v>10.015399999999964</v>
      </c>
      <c r="P93" s="12">
        <f t="shared" si="57"/>
        <v>9.0135999999999683</v>
      </c>
      <c r="Q93" s="12">
        <f t="shared" si="58"/>
        <v>31.007399999999983</v>
      </c>
      <c r="R93" s="12">
        <f t="shared" si="59"/>
        <v>29.001599999999996</v>
      </c>
      <c r="S93" s="12">
        <f t="shared" si="60"/>
        <v>0</v>
      </c>
      <c r="T93" s="12">
        <f t="shared" si="61"/>
        <v>0</v>
      </c>
      <c r="U93" s="43">
        <f>IF(OR(A93=Kontenplan!$C$3,A93=Kontenplan!$C$5),F93-G93,G93-F93)</f>
        <v>0</v>
      </c>
      <c r="V93" s="171">
        <f t="shared" si="44"/>
        <v>87</v>
      </c>
      <c r="W93" s="12">
        <f t="shared" si="45"/>
        <v>60</v>
      </c>
      <c r="X93" s="12">
        <f t="shared" si="46"/>
        <v>62</v>
      </c>
      <c r="Y93" s="12">
        <f>IF(Z93=0,VLOOKUP(W93,Kontenplan!$Y$9:$AA$551,3),"")</f>
        <v>0</v>
      </c>
      <c r="Z93" s="12">
        <f t="shared" si="62"/>
        <v>0</v>
      </c>
      <c r="AA93" s="12" t="str">
        <f t="shared" ca="1" si="63"/>
        <v/>
      </c>
      <c r="AB93" s="46" t="str">
        <f t="shared" ca="1" si="64"/>
        <v/>
      </c>
      <c r="AC93" s="46" t="str">
        <f t="shared" ca="1" si="65"/>
        <v/>
      </c>
      <c r="AD93" s="47"/>
      <c r="AE93" s="12">
        <f>IF(AF93=0,VLOOKUP(X93,Kontenplan!$Z$9:$AB$551,3),"")</f>
        <v>0</v>
      </c>
      <c r="AF93" s="47">
        <f t="shared" si="66"/>
        <v>0</v>
      </c>
      <c r="AG93" s="12" t="str">
        <f t="shared" ca="1" si="67"/>
        <v/>
      </c>
      <c r="AH93" s="46" t="str">
        <f t="shared" ca="1" si="68"/>
        <v/>
      </c>
      <c r="AI93" s="46" t="str">
        <f t="shared" ca="1" si="69"/>
        <v/>
      </c>
      <c r="AJ93" s="46"/>
      <c r="AK93" s="147">
        <f t="shared" ca="1" si="70"/>
        <v>2.0077000000000162</v>
      </c>
      <c r="AL93" s="147">
        <f t="shared" si="71"/>
        <v>2.0080000000000169</v>
      </c>
      <c r="AM93" s="12" t="str">
        <f>IF(V93&lt;=AO$3,VLOOKUP(V93,Kontenplan!$A$9:$D$278,4),"")</f>
        <v/>
      </c>
      <c r="AN93" s="12">
        <f t="shared" si="72"/>
        <v>0</v>
      </c>
      <c r="AO93" s="12" t="str">
        <f t="shared" ca="1" si="73"/>
        <v/>
      </c>
      <c r="AP93" s="46" t="str">
        <f t="shared" ca="1" si="74"/>
        <v/>
      </c>
      <c r="AQ93" s="46" t="str">
        <f t="shared" ca="1" si="75"/>
        <v/>
      </c>
      <c r="AR93" s="46"/>
      <c r="AS93" s="147">
        <f t="shared" ca="1" si="76"/>
        <v>3.007600000000016</v>
      </c>
      <c r="AT93" s="147">
        <f t="shared" si="77"/>
        <v>2.0081000000000171</v>
      </c>
      <c r="AU93" s="47" t="str">
        <f>IF(V93&lt;=AW$3,VLOOKUP(AO$3+V93,Kontenplan!$A$9:$D$278,4),"")</f>
        <v/>
      </c>
      <c r="AV93" s="12">
        <f t="shared" si="78"/>
        <v>0</v>
      </c>
      <c r="AW93" s="12" t="str">
        <f t="shared" ca="1" si="79"/>
        <v/>
      </c>
      <c r="AX93" s="46" t="str">
        <f t="shared" ca="1" si="47"/>
        <v/>
      </c>
      <c r="AY93" s="46" t="str">
        <f t="shared" ca="1" si="80"/>
        <v/>
      </c>
      <c r="BA93" s="12">
        <f>Kontenplan!R95</f>
        <v>3</v>
      </c>
      <c r="BB93" s="12">
        <f>Kontenplan!S95</f>
        <v>2</v>
      </c>
      <c r="BC93" s="12">
        <f>Kontenplan!T95</f>
        <v>4</v>
      </c>
      <c r="BD93" s="170">
        <f>Kontenplan!U95</f>
        <v>4</v>
      </c>
      <c r="BF93" s="24">
        <f ca="1">SUM(AP$7:AP93)</f>
        <v>0</v>
      </c>
      <c r="BG93" s="46">
        <f ca="1">SUM(AQ$7:AQ92)</f>
        <v>0</v>
      </c>
      <c r="BH93" s="24">
        <f t="shared" ca="1" si="81"/>
        <v>0</v>
      </c>
      <c r="BI93" s="24"/>
      <c r="BJ93" s="24">
        <f ca="1">SUM(AX$7:AX93)</f>
        <v>0</v>
      </c>
      <c r="BK93" s="24">
        <f ca="1">SUM(AY$7:AY92)</f>
        <v>0</v>
      </c>
      <c r="BL93" s="24">
        <f t="shared" ca="1" si="82"/>
        <v>0</v>
      </c>
      <c r="BN93" s="24">
        <f ca="1">SUM(AB$7:AB93)</f>
        <v>0</v>
      </c>
      <c r="BO93" s="46">
        <f ca="1">SUM(AC$7:AC92)</f>
        <v>0</v>
      </c>
      <c r="BP93" s="24">
        <f t="shared" ca="1" si="83"/>
        <v>0</v>
      </c>
      <c r="BR93" s="24">
        <f ca="1">SUM(AH$7:AH93)</f>
        <v>0</v>
      </c>
      <c r="BS93" s="46">
        <f ca="1">SUM(AI$7:AI92)</f>
        <v>0</v>
      </c>
      <c r="BT93" s="24">
        <f t="shared" ca="1" si="84"/>
        <v>0</v>
      </c>
    </row>
    <row r="94" spans="1:72" s="12" customFormat="1">
      <c r="A94" s="202">
        <f>Kontenplan!C96</f>
        <v>0</v>
      </c>
      <c r="B94" s="224">
        <f>Kontenplan!E96</f>
        <v>0</v>
      </c>
      <c r="C94" s="225">
        <f>Kontenplan!F96</f>
        <v>0</v>
      </c>
      <c r="D94" s="43">
        <f>IF(B94=0,0,SUMIF(Journal!$F$7:$F$83,Calc!B94,Journal!$I$7:$I$83))</f>
        <v>0</v>
      </c>
      <c r="E94" s="15">
        <f>IF(B94=0,0,SUMIF(Journal!$G$7:$M168,Calc!B94,Journal!$I$7:$I$83))</f>
        <v>0</v>
      </c>
      <c r="F94" s="44">
        <f t="shared" si="48"/>
        <v>0</v>
      </c>
      <c r="G94" s="15">
        <f t="shared" si="49"/>
        <v>0</v>
      </c>
      <c r="H94" s="14" t="str">
        <f t="shared" si="50"/>
        <v xml:space="preserve"> </v>
      </c>
      <c r="I94" s="43" t="str">
        <f t="shared" si="51"/>
        <v xml:space="preserve"> </v>
      </c>
      <c r="J94" s="45" t="str">
        <f t="shared" si="52"/>
        <v xml:space="preserve"> </v>
      </c>
      <c r="K94" s="48" t="str">
        <f t="shared" si="53"/>
        <v xml:space="preserve"> </v>
      </c>
      <c r="L94" s="45" t="str">
        <f t="shared" si="54"/>
        <v xml:space="preserve"> </v>
      </c>
      <c r="M94" s="48" t="str">
        <f t="shared" si="55"/>
        <v xml:space="preserve"> </v>
      </c>
      <c r="N94" s="24"/>
      <c r="O94" s="12">
        <f t="shared" si="56"/>
        <v>10.015599999999964</v>
      </c>
      <c r="P94" s="12">
        <f t="shared" si="57"/>
        <v>9.0137999999999678</v>
      </c>
      <c r="Q94" s="12">
        <f t="shared" si="58"/>
        <v>31.007599999999982</v>
      </c>
      <c r="R94" s="12">
        <f t="shared" si="59"/>
        <v>29.001799999999996</v>
      </c>
      <c r="S94" s="12">
        <f t="shared" si="60"/>
        <v>0</v>
      </c>
      <c r="T94" s="12">
        <f t="shared" si="61"/>
        <v>0</v>
      </c>
      <c r="U94" s="43">
        <f>IF(OR(A94=Kontenplan!$C$3,A94=Kontenplan!$C$5),F94-G94,G94-F94)</f>
        <v>0</v>
      </c>
      <c r="V94" s="171">
        <f t="shared" si="44"/>
        <v>88</v>
      </c>
      <c r="W94" s="12">
        <f t="shared" si="45"/>
        <v>61</v>
      </c>
      <c r="X94" s="12">
        <f t="shared" si="46"/>
        <v>63</v>
      </c>
      <c r="Y94" s="12">
        <f>IF(Z94=0,VLOOKUP(W94,Kontenplan!$Y$9:$AA$551,3),"")</f>
        <v>0</v>
      </c>
      <c r="Z94" s="12">
        <f t="shared" si="62"/>
        <v>0</v>
      </c>
      <c r="AA94" s="12" t="str">
        <f t="shared" ca="1" si="63"/>
        <v/>
      </c>
      <c r="AB94" s="46" t="str">
        <f t="shared" ca="1" si="64"/>
        <v/>
      </c>
      <c r="AC94" s="46" t="str">
        <f t="shared" ca="1" si="65"/>
        <v/>
      </c>
      <c r="AD94" s="47"/>
      <c r="AE94" s="12">
        <f>IF(AF94=0,VLOOKUP(X94,Kontenplan!$Z$9:$AB$551,3),"")</f>
        <v>0</v>
      </c>
      <c r="AF94" s="47">
        <f t="shared" si="66"/>
        <v>0</v>
      </c>
      <c r="AG94" s="12" t="str">
        <f t="shared" ca="1" si="67"/>
        <v/>
      </c>
      <c r="AH94" s="46" t="str">
        <f t="shared" ca="1" si="68"/>
        <v/>
      </c>
      <c r="AI94" s="46" t="str">
        <f t="shared" ca="1" si="69"/>
        <v/>
      </c>
      <c r="AJ94" s="46"/>
      <c r="AK94" s="147">
        <f t="shared" ca="1" si="70"/>
        <v>2.0078000000000165</v>
      </c>
      <c r="AL94" s="147">
        <f t="shared" si="71"/>
        <v>2.0081000000000171</v>
      </c>
      <c r="AM94" s="12" t="str">
        <f>IF(V94&lt;=AO$3,VLOOKUP(V94,Kontenplan!$A$9:$D$278,4),"")</f>
        <v/>
      </c>
      <c r="AN94" s="12">
        <f t="shared" si="72"/>
        <v>0</v>
      </c>
      <c r="AO94" s="12" t="str">
        <f t="shared" ca="1" si="73"/>
        <v/>
      </c>
      <c r="AP94" s="46" t="str">
        <f t="shared" ca="1" si="74"/>
        <v/>
      </c>
      <c r="AQ94" s="46" t="str">
        <f t="shared" ca="1" si="75"/>
        <v/>
      </c>
      <c r="AR94" s="46"/>
      <c r="AS94" s="147">
        <f t="shared" ca="1" si="76"/>
        <v>3.0077000000000162</v>
      </c>
      <c r="AT94" s="147">
        <f t="shared" si="77"/>
        <v>2.0082000000000173</v>
      </c>
      <c r="AU94" s="47" t="str">
        <f>IF(V94&lt;=AW$3,VLOOKUP(AO$3+V94,Kontenplan!$A$9:$D$278,4),"")</f>
        <v/>
      </c>
      <c r="AV94" s="12">
        <f t="shared" si="78"/>
        <v>0</v>
      </c>
      <c r="AW94" s="12" t="str">
        <f t="shared" ca="1" si="79"/>
        <v/>
      </c>
      <c r="AX94" s="46" t="str">
        <f t="shared" ca="1" si="47"/>
        <v/>
      </c>
      <c r="AY94" s="46" t="str">
        <f t="shared" ca="1" si="80"/>
        <v/>
      </c>
      <c r="BA94" s="12">
        <f>Kontenplan!R96</f>
        <v>3</v>
      </c>
      <c r="BB94" s="12">
        <f>Kontenplan!S96</f>
        <v>2</v>
      </c>
      <c r="BC94" s="12">
        <f>Kontenplan!T96</f>
        <v>4</v>
      </c>
      <c r="BD94" s="170">
        <f>Kontenplan!U96</f>
        <v>4</v>
      </c>
      <c r="BF94" s="24">
        <f ca="1">SUM(AP$7:AP94)</f>
        <v>0</v>
      </c>
      <c r="BG94" s="46">
        <f ca="1">SUM(AQ$7:AQ93)</f>
        <v>0</v>
      </c>
      <c r="BH94" s="24">
        <f t="shared" ca="1" si="81"/>
        <v>0</v>
      </c>
      <c r="BI94" s="24"/>
      <c r="BJ94" s="24">
        <f ca="1">SUM(AX$7:AX94)</f>
        <v>0</v>
      </c>
      <c r="BK94" s="24">
        <f ca="1">SUM(AY$7:AY93)</f>
        <v>0</v>
      </c>
      <c r="BL94" s="24">
        <f t="shared" ca="1" si="82"/>
        <v>0</v>
      </c>
      <c r="BN94" s="24">
        <f ca="1">SUM(AB$7:AB94)</f>
        <v>0</v>
      </c>
      <c r="BO94" s="46">
        <f ca="1">SUM(AC$7:AC93)</f>
        <v>0</v>
      </c>
      <c r="BP94" s="24">
        <f t="shared" ca="1" si="83"/>
        <v>0</v>
      </c>
      <c r="BR94" s="24">
        <f ca="1">SUM(AH$7:AH94)</f>
        <v>0</v>
      </c>
      <c r="BS94" s="46">
        <f ca="1">SUM(AI$7:AI93)</f>
        <v>0</v>
      </c>
      <c r="BT94" s="24">
        <f t="shared" ca="1" si="84"/>
        <v>0</v>
      </c>
    </row>
    <row r="95" spans="1:72" s="12" customFormat="1">
      <c r="A95" s="202">
        <f>Kontenplan!C97</f>
        <v>0</v>
      </c>
      <c r="B95" s="224">
        <f>Kontenplan!E97</f>
        <v>0</v>
      </c>
      <c r="C95" s="225">
        <f>Kontenplan!F97</f>
        <v>0</v>
      </c>
      <c r="D95" s="43">
        <f>IF(B95=0,0,SUMIF(Journal!$F$7:$F$83,Calc!B95,Journal!$I$7:$I$83))</f>
        <v>0</v>
      </c>
      <c r="E95" s="15">
        <f>IF(B95=0,0,SUMIF(Journal!$G$7:$M169,Calc!B95,Journal!$I$7:$I$83))</f>
        <v>0</v>
      </c>
      <c r="F95" s="44">
        <f t="shared" si="48"/>
        <v>0</v>
      </c>
      <c r="G95" s="15">
        <f t="shared" si="49"/>
        <v>0</v>
      </c>
      <c r="H95" s="14" t="str">
        <f t="shared" si="50"/>
        <v xml:space="preserve"> </v>
      </c>
      <c r="I95" s="43" t="str">
        <f t="shared" si="51"/>
        <v xml:space="preserve"> </v>
      </c>
      <c r="J95" s="45" t="str">
        <f t="shared" si="52"/>
        <v xml:space="preserve"> </v>
      </c>
      <c r="K95" s="48" t="str">
        <f t="shared" si="53"/>
        <v xml:space="preserve"> </v>
      </c>
      <c r="L95" s="45" t="str">
        <f t="shared" si="54"/>
        <v xml:space="preserve"> </v>
      </c>
      <c r="M95" s="48" t="str">
        <f t="shared" si="55"/>
        <v xml:space="preserve"> </v>
      </c>
      <c r="N95" s="24"/>
      <c r="O95" s="12">
        <f t="shared" si="56"/>
        <v>10.015799999999963</v>
      </c>
      <c r="P95" s="12">
        <f t="shared" si="57"/>
        <v>9.0139999999999674</v>
      </c>
      <c r="Q95" s="12">
        <f t="shared" si="58"/>
        <v>31.007799999999982</v>
      </c>
      <c r="R95" s="12">
        <f t="shared" si="59"/>
        <v>29.001999999999995</v>
      </c>
      <c r="S95" s="12">
        <f t="shared" si="60"/>
        <v>0</v>
      </c>
      <c r="T95" s="12">
        <f t="shared" si="61"/>
        <v>0</v>
      </c>
      <c r="U95" s="43">
        <f>IF(OR(A95=Kontenplan!$C$3,A95=Kontenplan!$C$5),F95-G95,G95-F95)</f>
        <v>0</v>
      </c>
      <c r="V95" s="171">
        <f t="shared" si="44"/>
        <v>89</v>
      </c>
      <c r="W95" s="12">
        <f t="shared" si="45"/>
        <v>62</v>
      </c>
      <c r="X95" s="12">
        <f t="shared" si="46"/>
        <v>64</v>
      </c>
      <c r="Y95" s="12">
        <f>IF(Z95=0,VLOOKUP(W95,Kontenplan!$Y$9:$AA$551,3),"")</f>
        <v>0</v>
      </c>
      <c r="Z95" s="12">
        <f t="shared" si="62"/>
        <v>0</v>
      </c>
      <c r="AA95" s="12" t="str">
        <f t="shared" ca="1" si="63"/>
        <v/>
      </c>
      <c r="AB95" s="46" t="str">
        <f t="shared" ca="1" si="64"/>
        <v/>
      </c>
      <c r="AC95" s="46" t="str">
        <f t="shared" ca="1" si="65"/>
        <v/>
      </c>
      <c r="AD95" s="47"/>
      <c r="AE95" s="12">
        <f>IF(AF95=0,VLOOKUP(X95,Kontenplan!$Z$9:$AB$551,3),"")</f>
        <v>0</v>
      </c>
      <c r="AF95" s="47">
        <f t="shared" si="66"/>
        <v>0</v>
      </c>
      <c r="AG95" s="12" t="str">
        <f t="shared" ca="1" si="67"/>
        <v/>
      </c>
      <c r="AH95" s="46" t="str">
        <f t="shared" ca="1" si="68"/>
        <v/>
      </c>
      <c r="AI95" s="46" t="str">
        <f t="shared" ca="1" si="69"/>
        <v/>
      </c>
      <c r="AJ95" s="46"/>
      <c r="AK95" s="147">
        <f t="shared" ca="1" si="70"/>
        <v>2.0079000000000167</v>
      </c>
      <c r="AL95" s="147">
        <f t="shared" si="71"/>
        <v>2.0082000000000173</v>
      </c>
      <c r="AM95" s="12" t="str">
        <f>IF(V95&lt;=AO$3,VLOOKUP(V95,Kontenplan!$A$9:$D$278,4),"")</f>
        <v/>
      </c>
      <c r="AN95" s="12">
        <f t="shared" si="72"/>
        <v>0</v>
      </c>
      <c r="AO95" s="12" t="str">
        <f t="shared" ca="1" si="73"/>
        <v/>
      </c>
      <c r="AP95" s="46" t="str">
        <f t="shared" ca="1" si="74"/>
        <v/>
      </c>
      <c r="AQ95" s="46" t="str">
        <f t="shared" ca="1" si="75"/>
        <v/>
      </c>
      <c r="AR95" s="46"/>
      <c r="AS95" s="147">
        <f t="shared" ca="1" si="76"/>
        <v>3.0078000000000165</v>
      </c>
      <c r="AT95" s="147">
        <f t="shared" si="77"/>
        <v>2.0083000000000175</v>
      </c>
      <c r="AU95" s="47" t="str">
        <f>IF(V95&lt;=AW$3,VLOOKUP(AO$3+V95,Kontenplan!$A$9:$D$278,4),"")</f>
        <v/>
      </c>
      <c r="AV95" s="12">
        <f t="shared" si="78"/>
        <v>0</v>
      </c>
      <c r="AW95" s="12" t="str">
        <f t="shared" ca="1" si="79"/>
        <v/>
      </c>
      <c r="AX95" s="46" t="str">
        <f t="shared" ca="1" si="47"/>
        <v/>
      </c>
      <c r="AY95" s="46" t="str">
        <f t="shared" ca="1" si="80"/>
        <v/>
      </c>
      <c r="BA95" s="12">
        <f>Kontenplan!R97</f>
        <v>3</v>
      </c>
      <c r="BB95" s="12">
        <f>Kontenplan!S97</f>
        <v>2</v>
      </c>
      <c r="BC95" s="12">
        <f>Kontenplan!T97</f>
        <v>4</v>
      </c>
      <c r="BD95" s="170">
        <f>Kontenplan!U97</f>
        <v>4</v>
      </c>
      <c r="BF95" s="24">
        <f ca="1">SUM(AP$7:AP95)</f>
        <v>0</v>
      </c>
      <c r="BG95" s="46">
        <f ca="1">SUM(AQ$7:AQ94)</f>
        <v>0</v>
      </c>
      <c r="BH95" s="24">
        <f t="shared" ca="1" si="81"/>
        <v>0</v>
      </c>
      <c r="BI95" s="24"/>
      <c r="BJ95" s="24">
        <f ca="1">SUM(AX$7:AX95)</f>
        <v>0</v>
      </c>
      <c r="BK95" s="24">
        <f ca="1">SUM(AY$7:AY94)</f>
        <v>0</v>
      </c>
      <c r="BL95" s="24">
        <f t="shared" ca="1" si="82"/>
        <v>0</v>
      </c>
      <c r="BN95" s="24">
        <f ca="1">SUM(AB$7:AB95)</f>
        <v>0</v>
      </c>
      <c r="BO95" s="46">
        <f ca="1">SUM(AC$7:AC94)</f>
        <v>0</v>
      </c>
      <c r="BP95" s="24">
        <f t="shared" ca="1" si="83"/>
        <v>0</v>
      </c>
      <c r="BR95" s="24">
        <f ca="1">SUM(AH$7:AH95)</f>
        <v>0</v>
      </c>
      <c r="BS95" s="46">
        <f ca="1">SUM(AI$7:AI94)</f>
        <v>0</v>
      </c>
      <c r="BT95" s="24">
        <f t="shared" ca="1" si="84"/>
        <v>0</v>
      </c>
    </row>
    <row r="96" spans="1:72" s="12" customFormat="1">
      <c r="A96" s="202">
        <f>Kontenplan!C98</f>
        <v>0</v>
      </c>
      <c r="B96" s="224">
        <f>Kontenplan!E98</f>
        <v>0</v>
      </c>
      <c r="C96" s="225">
        <f>Kontenplan!F98</f>
        <v>0</v>
      </c>
      <c r="D96" s="43">
        <f>IF(B96=0,0,SUMIF(Journal!$F$7:$F$83,Calc!B96,Journal!$I$7:$I$83))</f>
        <v>0</v>
      </c>
      <c r="E96" s="15">
        <f>IF(B96=0,0,SUMIF(Journal!$G$7:$M170,Calc!B96,Journal!$I$7:$I$83))</f>
        <v>0</v>
      </c>
      <c r="F96" s="44">
        <f t="shared" si="48"/>
        <v>0</v>
      </c>
      <c r="G96" s="15">
        <f t="shared" si="49"/>
        <v>0</v>
      </c>
      <c r="H96" s="14" t="str">
        <f t="shared" si="50"/>
        <v xml:space="preserve"> </v>
      </c>
      <c r="I96" s="43" t="str">
        <f t="shared" si="51"/>
        <v xml:space="preserve"> </v>
      </c>
      <c r="J96" s="45" t="str">
        <f t="shared" si="52"/>
        <v xml:space="preserve"> </v>
      </c>
      <c r="K96" s="48" t="str">
        <f t="shared" si="53"/>
        <v xml:space="preserve"> </v>
      </c>
      <c r="L96" s="45" t="str">
        <f t="shared" si="54"/>
        <v xml:space="preserve"> </v>
      </c>
      <c r="M96" s="48" t="str">
        <f t="shared" si="55"/>
        <v xml:space="preserve"> </v>
      </c>
      <c r="N96" s="24"/>
      <c r="O96" s="12">
        <f t="shared" si="56"/>
        <v>10.015999999999963</v>
      </c>
      <c r="P96" s="12">
        <f t="shared" si="57"/>
        <v>9.0141999999999669</v>
      </c>
      <c r="Q96" s="12">
        <f t="shared" si="58"/>
        <v>31.007999999999981</v>
      </c>
      <c r="R96" s="12">
        <f t="shared" si="59"/>
        <v>29.002199999999995</v>
      </c>
      <c r="S96" s="12">
        <f t="shared" si="60"/>
        <v>0</v>
      </c>
      <c r="T96" s="12">
        <f t="shared" si="61"/>
        <v>0</v>
      </c>
      <c r="U96" s="43">
        <f>IF(OR(A96=Kontenplan!$C$3,A96=Kontenplan!$C$5),F96-G96,G96-F96)</f>
        <v>0</v>
      </c>
      <c r="V96" s="171">
        <f t="shared" si="44"/>
        <v>90</v>
      </c>
      <c r="W96" s="12">
        <f t="shared" si="45"/>
        <v>63</v>
      </c>
      <c r="X96" s="12">
        <f t="shared" si="46"/>
        <v>65</v>
      </c>
      <c r="Y96" s="12">
        <f>IF(Z96=0,VLOOKUP(W96,Kontenplan!$Y$9:$AA$551,3),"")</f>
        <v>0</v>
      </c>
      <c r="Z96" s="12">
        <f t="shared" si="62"/>
        <v>0</v>
      </c>
      <c r="AA96" s="12" t="str">
        <f t="shared" ca="1" si="63"/>
        <v/>
      </c>
      <c r="AB96" s="46" t="str">
        <f t="shared" ca="1" si="64"/>
        <v/>
      </c>
      <c r="AC96" s="46" t="str">
        <f t="shared" ca="1" si="65"/>
        <v/>
      </c>
      <c r="AD96" s="47"/>
      <c r="AE96" s="12">
        <f>IF(AF96=0,VLOOKUP(X96,Kontenplan!$Z$9:$AB$551,3),"")</f>
        <v>0</v>
      </c>
      <c r="AF96" s="47">
        <f t="shared" si="66"/>
        <v>0</v>
      </c>
      <c r="AG96" s="12" t="str">
        <f t="shared" ca="1" si="67"/>
        <v/>
      </c>
      <c r="AH96" s="46" t="str">
        <f t="shared" ca="1" si="68"/>
        <v/>
      </c>
      <c r="AI96" s="46" t="str">
        <f t="shared" ca="1" si="69"/>
        <v/>
      </c>
      <c r="AJ96" s="46"/>
      <c r="AK96" s="147">
        <f t="shared" ca="1" si="70"/>
        <v>2.0080000000000169</v>
      </c>
      <c r="AL96" s="147">
        <f t="shared" si="71"/>
        <v>2.0083000000000175</v>
      </c>
      <c r="AM96" s="12" t="str">
        <f>IF(V96&lt;=AO$3,VLOOKUP(V96,Kontenplan!$A$9:$D$278,4),"")</f>
        <v/>
      </c>
      <c r="AN96" s="12">
        <f t="shared" si="72"/>
        <v>0</v>
      </c>
      <c r="AO96" s="12" t="str">
        <f t="shared" ca="1" si="73"/>
        <v/>
      </c>
      <c r="AP96" s="46" t="str">
        <f t="shared" ca="1" si="74"/>
        <v/>
      </c>
      <c r="AQ96" s="46" t="str">
        <f t="shared" ca="1" si="75"/>
        <v/>
      </c>
      <c r="AR96" s="46"/>
      <c r="AS96" s="147">
        <f t="shared" ca="1" si="76"/>
        <v>3.0079000000000167</v>
      </c>
      <c r="AT96" s="147">
        <f t="shared" si="77"/>
        <v>2.0084000000000177</v>
      </c>
      <c r="AU96" s="47" t="str">
        <f>IF(V96&lt;=AW$3,VLOOKUP(AO$3+V96,Kontenplan!$A$9:$D$278,4),"")</f>
        <v/>
      </c>
      <c r="AV96" s="12">
        <f t="shared" si="78"/>
        <v>0</v>
      </c>
      <c r="AW96" s="12" t="str">
        <f t="shared" ca="1" si="79"/>
        <v/>
      </c>
      <c r="AX96" s="46" t="str">
        <f t="shared" ca="1" si="47"/>
        <v/>
      </c>
      <c r="AY96" s="46" t="str">
        <f t="shared" ca="1" si="80"/>
        <v/>
      </c>
      <c r="BA96" s="12">
        <f>Kontenplan!R98</f>
        <v>3</v>
      </c>
      <c r="BB96" s="12">
        <f>Kontenplan!S98</f>
        <v>2</v>
      </c>
      <c r="BC96" s="12">
        <f>Kontenplan!T98</f>
        <v>4</v>
      </c>
      <c r="BD96" s="170">
        <f>Kontenplan!U98</f>
        <v>4</v>
      </c>
      <c r="BF96" s="24">
        <f ca="1">SUM(AP$7:AP96)</f>
        <v>0</v>
      </c>
      <c r="BG96" s="46">
        <f ca="1">SUM(AQ$7:AQ95)</f>
        <v>0</v>
      </c>
      <c r="BH96" s="24">
        <f t="shared" ca="1" si="81"/>
        <v>0</v>
      </c>
      <c r="BI96" s="24"/>
      <c r="BJ96" s="24">
        <f ca="1">SUM(AX$7:AX96)</f>
        <v>0</v>
      </c>
      <c r="BK96" s="24">
        <f ca="1">SUM(AY$7:AY95)</f>
        <v>0</v>
      </c>
      <c r="BL96" s="24">
        <f t="shared" ca="1" si="82"/>
        <v>0</v>
      </c>
      <c r="BN96" s="24">
        <f ca="1">SUM(AB$7:AB96)</f>
        <v>0</v>
      </c>
      <c r="BO96" s="46">
        <f ca="1">SUM(AC$7:AC95)</f>
        <v>0</v>
      </c>
      <c r="BP96" s="24">
        <f t="shared" ca="1" si="83"/>
        <v>0</v>
      </c>
      <c r="BR96" s="24">
        <f ca="1">SUM(AH$7:AH96)</f>
        <v>0</v>
      </c>
      <c r="BS96" s="46">
        <f ca="1">SUM(AI$7:AI95)</f>
        <v>0</v>
      </c>
      <c r="BT96" s="24">
        <f t="shared" ca="1" si="84"/>
        <v>0</v>
      </c>
    </row>
    <row r="97" spans="1:72" s="12" customFormat="1">
      <c r="A97" s="202">
        <f>Kontenplan!C99</f>
        <v>0</v>
      </c>
      <c r="B97" s="224">
        <f>Kontenplan!E99</f>
        <v>0</v>
      </c>
      <c r="C97" s="225">
        <f>Kontenplan!F99</f>
        <v>0</v>
      </c>
      <c r="D97" s="43">
        <f>IF(B97=0,0,SUMIF(Journal!$F$7:$F$83,Calc!B97,Journal!$I$7:$I$83))</f>
        <v>0</v>
      </c>
      <c r="E97" s="15">
        <f>IF(B97=0,0,SUMIF(Journal!$G$7:$M171,Calc!B97,Journal!$I$7:$I$83))</f>
        <v>0</v>
      </c>
      <c r="F97" s="44">
        <f t="shared" si="48"/>
        <v>0</v>
      </c>
      <c r="G97" s="15">
        <f t="shared" si="49"/>
        <v>0</v>
      </c>
      <c r="H97" s="14" t="str">
        <f t="shared" si="50"/>
        <v xml:space="preserve"> </v>
      </c>
      <c r="I97" s="43" t="str">
        <f t="shared" si="51"/>
        <v xml:space="preserve"> </v>
      </c>
      <c r="J97" s="45" t="str">
        <f t="shared" si="52"/>
        <v xml:space="preserve"> </v>
      </c>
      <c r="K97" s="48" t="str">
        <f t="shared" si="53"/>
        <v xml:space="preserve"> </v>
      </c>
      <c r="L97" s="45" t="str">
        <f t="shared" si="54"/>
        <v xml:space="preserve"> </v>
      </c>
      <c r="M97" s="48" t="str">
        <f t="shared" si="55"/>
        <v xml:space="preserve"> </v>
      </c>
      <c r="N97" s="24"/>
      <c r="O97" s="12">
        <f t="shared" si="56"/>
        <v>10.016199999999962</v>
      </c>
      <c r="P97" s="12">
        <f t="shared" si="57"/>
        <v>9.0143999999999664</v>
      </c>
      <c r="Q97" s="12">
        <f t="shared" si="58"/>
        <v>31.008199999999981</v>
      </c>
      <c r="R97" s="12">
        <f t="shared" si="59"/>
        <v>29.002399999999994</v>
      </c>
      <c r="S97" s="12">
        <f t="shared" si="60"/>
        <v>0</v>
      </c>
      <c r="T97" s="12">
        <f t="shared" si="61"/>
        <v>0</v>
      </c>
      <c r="U97" s="43">
        <f>IF(OR(A97=Kontenplan!$C$3,A97=Kontenplan!$C$5),F97-G97,G97-F97)</f>
        <v>0</v>
      </c>
      <c r="V97" s="171">
        <f t="shared" si="44"/>
        <v>91</v>
      </c>
      <c r="W97" s="12">
        <f t="shared" si="45"/>
        <v>64</v>
      </c>
      <c r="X97" s="12">
        <f t="shared" si="46"/>
        <v>66</v>
      </c>
      <c r="Y97" s="12">
        <f>IF(Z97=0,VLOOKUP(W97,Kontenplan!$Y$9:$AA$551,3),"")</f>
        <v>0</v>
      </c>
      <c r="Z97" s="12">
        <f t="shared" si="62"/>
        <v>0</v>
      </c>
      <c r="AA97" s="12" t="str">
        <f t="shared" ca="1" si="63"/>
        <v/>
      </c>
      <c r="AB97" s="46" t="str">
        <f t="shared" ca="1" si="64"/>
        <v/>
      </c>
      <c r="AC97" s="46" t="str">
        <f t="shared" ca="1" si="65"/>
        <v/>
      </c>
      <c r="AD97" s="47"/>
      <c r="AE97" s="12">
        <f>IF(AF97=0,VLOOKUP(X97,Kontenplan!$Z$9:$AB$551,3),"")</f>
        <v>0</v>
      </c>
      <c r="AF97" s="47">
        <f t="shared" si="66"/>
        <v>0</v>
      </c>
      <c r="AG97" s="12" t="str">
        <f t="shared" ca="1" si="67"/>
        <v/>
      </c>
      <c r="AH97" s="46" t="str">
        <f t="shared" ca="1" si="68"/>
        <v/>
      </c>
      <c r="AI97" s="46" t="str">
        <f t="shared" ca="1" si="69"/>
        <v/>
      </c>
      <c r="AJ97" s="46"/>
      <c r="AK97" s="147">
        <f t="shared" ca="1" si="70"/>
        <v>2.0081000000000171</v>
      </c>
      <c r="AL97" s="147">
        <f t="shared" si="71"/>
        <v>2.0084000000000177</v>
      </c>
      <c r="AM97" s="12" t="str">
        <f>IF(V97&lt;=AO$3,VLOOKUP(V97,Kontenplan!$A$9:$D$278,4),"")</f>
        <v/>
      </c>
      <c r="AN97" s="12">
        <f t="shared" si="72"/>
        <v>0</v>
      </c>
      <c r="AO97" s="12" t="str">
        <f t="shared" ca="1" si="73"/>
        <v/>
      </c>
      <c r="AP97" s="46" t="str">
        <f t="shared" ca="1" si="74"/>
        <v/>
      </c>
      <c r="AQ97" s="46" t="str">
        <f t="shared" ca="1" si="75"/>
        <v/>
      </c>
      <c r="AR97" s="46"/>
      <c r="AS97" s="147">
        <f t="shared" ca="1" si="76"/>
        <v>3.0080000000000169</v>
      </c>
      <c r="AT97" s="147">
        <f t="shared" si="77"/>
        <v>2.0085000000000179</v>
      </c>
      <c r="AU97" s="47" t="str">
        <f>IF(V97&lt;=AW$3,VLOOKUP(AO$3+V97,Kontenplan!$A$9:$D$278,4),"")</f>
        <v/>
      </c>
      <c r="AV97" s="12">
        <f t="shared" si="78"/>
        <v>0</v>
      </c>
      <c r="AW97" s="12" t="str">
        <f t="shared" ca="1" si="79"/>
        <v/>
      </c>
      <c r="AX97" s="46" t="str">
        <f t="shared" ca="1" si="47"/>
        <v/>
      </c>
      <c r="AY97" s="46" t="str">
        <f t="shared" ca="1" si="80"/>
        <v/>
      </c>
      <c r="BA97" s="12">
        <f>Kontenplan!R99</f>
        <v>3</v>
      </c>
      <c r="BB97" s="12">
        <f>Kontenplan!S99</f>
        <v>2</v>
      </c>
      <c r="BC97" s="12">
        <f>Kontenplan!T99</f>
        <v>4</v>
      </c>
      <c r="BD97" s="170">
        <f>Kontenplan!U99</f>
        <v>4</v>
      </c>
      <c r="BF97" s="24">
        <f ca="1">SUM(AP$7:AP97)</f>
        <v>0</v>
      </c>
      <c r="BG97" s="46">
        <f ca="1">SUM(AQ$7:AQ96)</f>
        <v>0</v>
      </c>
      <c r="BH97" s="24">
        <f t="shared" ca="1" si="81"/>
        <v>0</v>
      </c>
      <c r="BI97" s="24"/>
      <c r="BJ97" s="24">
        <f ca="1">SUM(AX$7:AX97)</f>
        <v>0</v>
      </c>
      <c r="BK97" s="24">
        <f ca="1">SUM(AY$7:AY96)</f>
        <v>0</v>
      </c>
      <c r="BL97" s="24">
        <f t="shared" ca="1" si="82"/>
        <v>0</v>
      </c>
      <c r="BN97" s="24">
        <f ca="1">SUM(AB$7:AB97)</f>
        <v>0</v>
      </c>
      <c r="BO97" s="46">
        <f ca="1">SUM(AC$7:AC96)</f>
        <v>0</v>
      </c>
      <c r="BP97" s="24">
        <f t="shared" ca="1" si="83"/>
        <v>0</v>
      </c>
      <c r="BR97" s="24">
        <f ca="1">SUM(AH$7:AH97)</f>
        <v>0</v>
      </c>
      <c r="BS97" s="46">
        <f ca="1">SUM(AI$7:AI96)</f>
        <v>0</v>
      </c>
      <c r="BT97" s="24">
        <f t="shared" ca="1" si="84"/>
        <v>0</v>
      </c>
    </row>
    <row r="98" spans="1:72" s="12" customFormat="1">
      <c r="A98" s="202">
        <f>Kontenplan!C100</f>
        <v>0</v>
      </c>
      <c r="B98" s="224">
        <f>Kontenplan!E100</f>
        <v>0</v>
      </c>
      <c r="C98" s="225">
        <f>Kontenplan!F100</f>
        <v>0</v>
      </c>
      <c r="D98" s="43">
        <f>IF(B98=0,0,SUMIF(Journal!$F$7:$F$83,Calc!B98,Journal!$I$7:$I$83))</f>
        <v>0</v>
      </c>
      <c r="E98" s="15">
        <f>IF(B98=0,0,SUMIF(Journal!$G$7:$M172,Calc!B98,Journal!$I$7:$I$83))</f>
        <v>0</v>
      </c>
      <c r="F98" s="44">
        <f t="shared" si="48"/>
        <v>0</v>
      </c>
      <c r="G98" s="15">
        <f t="shared" si="49"/>
        <v>0</v>
      </c>
      <c r="H98" s="14" t="str">
        <f t="shared" si="50"/>
        <v xml:space="preserve"> </v>
      </c>
      <c r="I98" s="43" t="str">
        <f t="shared" si="51"/>
        <v xml:space="preserve"> </v>
      </c>
      <c r="J98" s="45" t="str">
        <f t="shared" si="52"/>
        <v xml:space="preserve"> </v>
      </c>
      <c r="K98" s="48" t="str">
        <f t="shared" si="53"/>
        <v xml:space="preserve"> </v>
      </c>
      <c r="L98" s="45" t="str">
        <f t="shared" si="54"/>
        <v xml:space="preserve"> </v>
      </c>
      <c r="M98" s="48" t="str">
        <f t="shared" si="55"/>
        <v xml:space="preserve"> </v>
      </c>
      <c r="N98" s="24"/>
      <c r="O98" s="12">
        <f t="shared" si="56"/>
        <v>10.016399999999962</v>
      </c>
      <c r="P98" s="12">
        <f t="shared" si="57"/>
        <v>9.014599999999966</v>
      </c>
      <c r="Q98" s="12">
        <f t="shared" si="58"/>
        <v>31.00839999999998</v>
      </c>
      <c r="R98" s="12">
        <f t="shared" si="59"/>
        <v>29.002599999999994</v>
      </c>
      <c r="S98" s="12">
        <f t="shared" si="60"/>
        <v>0</v>
      </c>
      <c r="T98" s="12">
        <f t="shared" si="61"/>
        <v>0</v>
      </c>
      <c r="U98" s="43">
        <f>IF(OR(A98=Kontenplan!$C$3,A98=Kontenplan!$C$5),F98-G98,G98-F98)</f>
        <v>0</v>
      </c>
      <c r="V98" s="171">
        <f t="shared" si="44"/>
        <v>92</v>
      </c>
      <c r="W98" s="12">
        <f t="shared" si="45"/>
        <v>65</v>
      </c>
      <c r="X98" s="12">
        <f t="shared" si="46"/>
        <v>67</v>
      </c>
      <c r="Y98" s="12">
        <f>IF(Z98=0,VLOOKUP(W98,Kontenplan!$Y$9:$AA$551,3),"")</f>
        <v>0</v>
      </c>
      <c r="Z98" s="12">
        <f t="shared" si="62"/>
        <v>0</v>
      </c>
      <c r="AA98" s="12" t="str">
        <f t="shared" ca="1" si="63"/>
        <v/>
      </c>
      <c r="AB98" s="46" t="str">
        <f t="shared" ca="1" si="64"/>
        <v/>
      </c>
      <c r="AC98" s="46" t="str">
        <f t="shared" ca="1" si="65"/>
        <v/>
      </c>
      <c r="AD98" s="47"/>
      <c r="AE98" s="12">
        <f>IF(AF98=0,VLOOKUP(X98,Kontenplan!$Z$9:$AB$551,3),"")</f>
        <v>0</v>
      </c>
      <c r="AF98" s="47">
        <f t="shared" si="66"/>
        <v>0</v>
      </c>
      <c r="AG98" s="12" t="str">
        <f t="shared" ca="1" si="67"/>
        <v/>
      </c>
      <c r="AH98" s="46" t="str">
        <f t="shared" ca="1" si="68"/>
        <v/>
      </c>
      <c r="AI98" s="46" t="str">
        <f t="shared" ca="1" si="69"/>
        <v/>
      </c>
      <c r="AJ98" s="46"/>
      <c r="AK98" s="147">
        <f t="shared" ca="1" si="70"/>
        <v>2.0082000000000173</v>
      </c>
      <c r="AL98" s="147">
        <f t="shared" si="71"/>
        <v>2.0085000000000179</v>
      </c>
      <c r="AM98" s="12" t="str">
        <f>IF(V98&lt;=AO$3,VLOOKUP(V98,Kontenplan!$A$9:$D$278,4),"")</f>
        <v/>
      </c>
      <c r="AN98" s="12">
        <f t="shared" si="72"/>
        <v>0</v>
      </c>
      <c r="AO98" s="12" t="str">
        <f t="shared" ca="1" si="73"/>
        <v/>
      </c>
      <c r="AP98" s="46" t="str">
        <f t="shared" ca="1" si="74"/>
        <v/>
      </c>
      <c r="AQ98" s="46" t="str">
        <f t="shared" ca="1" si="75"/>
        <v/>
      </c>
      <c r="AR98" s="46"/>
      <c r="AS98" s="147">
        <f t="shared" ca="1" si="76"/>
        <v>3.0081000000000171</v>
      </c>
      <c r="AT98" s="147">
        <f t="shared" si="77"/>
        <v>2.0086000000000181</v>
      </c>
      <c r="AU98" s="47" t="str">
        <f>IF(V98&lt;=AW$3,VLOOKUP(AO$3+V98,Kontenplan!$A$9:$D$278,4),"")</f>
        <v/>
      </c>
      <c r="AV98" s="12">
        <f t="shared" si="78"/>
        <v>0</v>
      </c>
      <c r="AW98" s="12" t="str">
        <f t="shared" ca="1" si="79"/>
        <v/>
      </c>
      <c r="AX98" s="46" t="str">
        <f t="shared" ca="1" si="47"/>
        <v/>
      </c>
      <c r="AY98" s="46" t="str">
        <f t="shared" ca="1" si="80"/>
        <v/>
      </c>
      <c r="BA98" s="12">
        <f>Kontenplan!R100</f>
        <v>3</v>
      </c>
      <c r="BB98" s="12">
        <f>Kontenplan!S100</f>
        <v>2</v>
      </c>
      <c r="BC98" s="12">
        <f>Kontenplan!T100</f>
        <v>4</v>
      </c>
      <c r="BD98" s="170">
        <f>Kontenplan!U100</f>
        <v>4</v>
      </c>
      <c r="BF98" s="24">
        <f ca="1">SUM(AP$7:AP98)</f>
        <v>0</v>
      </c>
      <c r="BG98" s="46">
        <f ca="1">SUM(AQ$7:AQ97)</f>
        <v>0</v>
      </c>
      <c r="BH98" s="24">
        <f t="shared" ca="1" si="81"/>
        <v>0</v>
      </c>
      <c r="BI98" s="24"/>
      <c r="BJ98" s="24">
        <f ca="1">SUM(AX$7:AX98)</f>
        <v>0</v>
      </c>
      <c r="BK98" s="24">
        <f ca="1">SUM(AY$7:AY97)</f>
        <v>0</v>
      </c>
      <c r="BL98" s="24">
        <f t="shared" ca="1" si="82"/>
        <v>0</v>
      </c>
      <c r="BN98" s="24">
        <f ca="1">SUM(AB$7:AB98)</f>
        <v>0</v>
      </c>
      <c r="BO98" s="46">
        <f ca="1">SUM(AC$7:AC97)</f>
        <v>0</v>
      </c>
      <c r="BP98" s="24">
        <f t="shared" ca="1" si="83"/>
        <v>0</v>
      </c>
      <c r="BR98" s="24">
        <f ca="1">SUM(AH$7:AH98)</f>
        <v>0</v>
      </c>
      <c r="BS98" s="46">
        <f ca="1">SUM(AI$7:AI97)</f>
        <v>0</v>
      </c>
      <c r="BT98" s="24">
        <f t="shared" ca="1" si="84"/>
        <v>0</v>
      </c>
    </row>
    <row r="99" spans="1:72" s="12" customFormat="1">
      <c r="A99" s="202">
        <f>Kontenplan!C101</f>
        <v>0</v>
      </c>
      <c r="B99" s="224">
        <f>Kontenplan!E101</f>
        <v>0</v>
      </c>
      <c r="C99" s="225">
        <f>Kontenplan!F101</f>
        <v>0</v>
      </c>
      <c r="D99" s="43">
        <f>IF(B99=0,0,SUMIF(Journal!$F$7:$F$83,Calc!B99,Journal!$I$7:$I$83))</f>
        <v>0</v>
      </c>
      <c r="E99" s="15">
        <f>IF(B99=0,0,SUMIF(Journal!$G$7:$M173,Calc!B99,Journal!$I$7:$I$83))</f>
        <v>0</v>
      </c>
      <c r="F99" s="44">
        <f t="shared" si="48"/>
        <v>0</v>
      </c>
      <c r="G99" s="15">
        <f t="shared" si="49"/>
        <v>0</v>
      </c>
      <c r="H99" s="14" t="str">
        <f t="shared" si="50"/>
        <v xml:space="preserve"> </v>
      </c>
      <c r="I99" s="43" t="str">
        <f t="shared" si="51"/>
        <v xml:space="preserve"> </v>
      </c>
      <c r="J99" s="45" t="str">
        <f t="shared" si="52"/>
        <v xml:space="preserve"> </v>
      </c>
      <c r="K99" s="48" t="str">
        <f t="shared" si="53"/>
        <v xml:space="preserve"> </v>
      </c>
      <c r="L99" s="45" t="str">
        <f t="shared" si="54"/>
        <v xml:space="preserve"> </v>
      </c>
      <c r="M99" s="48" t="str">
        <f t="shared" si="55"/>
        <v xml:space="preserve"> </v>
      </c>
      <c r="N99" s="24"/>
      <c r="O99" s="12">
        <f t="shared" si="56"/>
        <v>10.016599999999961</v>
      </c>
      <c r="P99" s="12">
        <f t="shared" si="57"/>
        <v>9.0147999999999655</v>
      </c>
      <c r="Q99" s="12">
        <f t="shared" si="58"/>
        <v>31.00859999999998</v>
      </c>
      <c r="R99" s="12">
        <f t="shared" si="59"/>
        <v>29.002799999999993</v>
      </c>
      <c r="S99" s="12">
        <f t="shared" si="60"/>
        <v>0</v>
      </c>
      <c r="T99" s="12">
        <f t="shared" si="61"/>
        <v>0</v>
      </c>
      <c r="U99" s="43">
        <f>IF(OR(A99=Kontenplan!$C$3,A99=Kontenplan!$C$5),F99-G99,G99-F99)</f>
        <v>0</v>
      </c>
      <c r="V99" s="171">
        <f t="shared" si="44"/>
        <v>93</v>
      </c>
      <c r="W99" s="12">
        <f t="shared" si="45"/>
        <v>66</v>
      </c>
      <c r="X99" s="12">
        <f t="shared" si="46"/>
        <v>68</v>
      </c>
      <c r="Y99" s="12">
        <f>IF(Z99=0,VLOOKUP(W99,Kontenplan!$Y$9:$AA$551,3),"")</f>
        <v>0</v>
      </c>
      <c r="Z99" s="12">
        <f t="shared" si="62"/>
        <v>0</v>
      </c>
      <c r="AA99" s="12" t="str">
        <f t="shared" ca="1" si="63"/>
        <v/>
      </c>
      <c r="AB99" s="46" t="str">
        <f t="shared" ca="1" si="64"/>
        <v/>
      </c>
      <c r="AC99" s="46" t="str">
        <f t="shared" ca="1" si="65"/>
        <v/>
      </c>
      <c r="AD99" s="47"/>
      <c r="AE99" s="12">
        <f>IF(AF99=0,VLOOKUP(X99,Kontenplan!$Z$9:$AB$551,3),"")</f>
        <v>0</v>
      </c>
      <c r="AF99" s="47">
        <f t="shared" si="66"/>
        <v>0</v>
      </c>
      <c r="AG99" s="12" t="str">
        <f t="shared" ca="1" si="67"/>
        <v/>
      </c>
      <c r="AH99" s="46" t="str">
        <f t="shared" ca="1" si="68"/>
        <v/>
      </c>
      <c r="AI99" s="46" t="str">
        <f t="shared" ca="1" si="69"/>
        <v/>
      </c>
      <c r="AJ99" s="46"/>
      <c r="AK99" s="147">
        <f t="shared" ca="1" si="70"/>
        <v>2.0083000000000175</v>
      </c>
      <c r="AL99" s="147">
        <f t="shared" si="71"/>
        <v>2.0086000000000181</v>
      </c>
      <c r="AM99" s="12" t="str">
        <f>IF(V99&lt;=AO$3,VLOOKUP(V99,Kontenplan!$A$9:$D$278,4),"")</f>
        <v/>
      </c>
      <c r="AN99" s="12">
        <f t="shared" si="72"/>
        <v>0</v>
      </c>
      <c r="AO99" s="12" t="str">
        <f t="shared" ca="1" si="73"/>
        <v/>
      </c>
      <c r="AP99" s="46" t="str">
        <f t="shared" ca="1" si="74"/>
        <v/>
      </c>
      <c r="AQ99" s="46" t="str">
        <f t="shared" ca="1" si="75"/>
        <v/>
      </c>
      <c r="AR99" s="46"/>
      <c r="AS99" s="147">
        <f t="shared" ca="1" si="76"/>
        <v>3.0082000000000173</v>
      </c>
      <c r="AT99" s="147">
        <f t="shared" si="77"/>
        <v>2.0087000000000184</v>
      </c>
      <c r="AU99" s="47" t="str">
        <f>IF(V99&lt;=AW$3,VLOOKUP(AO$3+V99,Kontenplan!$A$9:$D$278,4),"")</f>
        <v/>
      </c>
      <c r="AV99" s="12">
        <f t="shared" si="78"/>
        <v>0</v>
      </c>
      <c r="AW99" s="12" t="str">
        <f t="shared" ca="1" si="79"/>
        <v/>
      </c>
      <c r="AX99" s="46" t="str">
        <f t="shared" ca="1" si="47"/>
        <v/>
      </c>
      <c r="AY99" s="46" t="str">
        <f t="shared" ca="1" si="80"/>
        <v/>
      </c>
      <c r="BA99" s="12">
        <f>Kontenplan!R101</f>
        <v>3</v>
      </c>
      <c r="BB99" s="12">
        <f>Kontenplan!S101</f>
        <v>2</v>
      </c>
      <c r="BC99" s="12">
        <f>Kontenplan!T101</f>
        <v>4</v>
      </c>
      <c r="BD99" s="170">
        <f>Kontenplan!U101</f>
        <v>4</v>
      </c>
      <c r="BF99" s="24">
        <f ca="1">SUM(AP$7:AP99)</f>
        <v>0</v>
      </c>
      <c r="BG99" s="46">
        <f ca="1">SUM(AQ$7:AQ98)</f>
        <v>0</v>
      </c>
      <c r="BH99" s="24">
        <f t="shared" ca="1" si="81"/>
        <v>0</v>
      </c>
      <c r="BI99" s="24"/>
      <c r="BJ99" s="24">
        <f ca="1">SUM(AX$7:AX99)</f>
        <v>0</v>
      </c>
      <c r="BK99" s="24">
        <f ca="1">SUM(AY$7:AY98)</f>
        <v>0</v>
      </c>
      <c r="BL99" s="24">
        <f t="shared" ca="1" si="82"/>
        <v>0</v>
      </c>
      <c r="BN99" s="24">
        <f ca="1">SUM(AB$7:AB99)</f>
        <v>0</v>
      </c>
      <c r="BO99" s="46">
        <f ca="1">SUM(AC$7:AC98)</f>
        <v>0</v>
      </c>
      <c r="BP99" s="24">
        <f t="shared" ca="1" si="83"/>
        <v>0</v>
      </c>
      <c r="BR99" s="24">
        <f ca="1">SUM(AH$7:AH99)</f>
        <v>0</v>
      </c>
      <c r="BS99" s="46">
        <f ca="1">SUM(AI$7:AI98)</f>
        <v>0</v>
      </c>
      <c r="BT99" s="24">
        <f t="shared" ca="1" si="84"/>
        <v>0</v>
      </c>
    </row>
    <row r="100" spans="1:72" s="12" customFormat="1">
      <c r="A100" s="202">
        <f>Kontenplan!C102</f>
        <v>0</v>
      </c>
      <c r="B100" s="224">
        <f>Kontenplan!E102</f>
        <v>0</v>
      </c>
      <c r="C100" s="225">
        <f>Kontenplan!F102</f>
        <v>0</v>
      </c>
      <c r="D100" s="43">
        <f>IF(B100=0,0,SUMIF(Journal!$F$7:$F$83,Calc!B100,Journal!$I$7:$I$83))</f>
        <v>0</v>
      </c>
      <c r="E100" s="15">
        <f>IF(B100=0,0,SUMIF(Journal!$G$7:$M174,Calc!B100,Journal!$I$7:$I$83))</f>
        <v>0</v>
      </c>
      <c r="F100" s="44">
        <f t="shared" si="48"/>
        <v>0</v>
      </c>
      <c r="G100" s="15">
        <f t="shared" si="49"/>
        <v>0</v>
      </c>
      <c r="H100" s="14" t="str">
        <f t="shared" si="50"/>
        <v xml:space="preserve"> </v>
      </c>
      <c r="I100" s="43" t="str">
        <f t="shared" si="51"/>
        <v xml:space="preserve"> </v>
      </c>
      <c r="J100" s="45" t="str">
        <f t="shared" si="52"/>
        <v xml:space="preserve"> </v>
      </c>
      <c r="K100" s="48" t="str">
        <f t="shared" si="53"/>
        <v xml:space="preserve"> </v>
      </c>
      <c r="L100" s="45" t="str">
        <f t="shared" si="54"/>
        <v xml:space="preserve"> </v>
      </c>
      <c r="M100" s="48" t="str">
        <f t="shared" si="55"/>
        <v xml:space="preserve"> </v>
      </c>
      <c r="N100" s="24"/>
      <c r="O100" s="12">
        <f t="shared" si="56"/>
        <v>10.016799999999961</v>
      </c>
      <c r="P100" s="12">
        <f t="shared" si="57"/>
        <v>9.014999999999965</v>
      </c>
      <c r="Q100" s="12">
        <f t="shared" si="58"/>
        <v>31.008799999999979</v>
      </c>
      <c r="R100" s="12">
        <f t="shared" si="59"/>
        <v>29.002999999999993</v>
      </c>
      <c r="S100" s="12">
        <f t="shared" si="60"/>
        <v>0</v>
      </c>
      <c r="T100" s="12">
        <f t="shared" si="61"/>
        <v>0</v>
      </c>
      <c r="U100" s="43">
        <f>IF(OR(A100=Kontenplan!$C$3,A100=Kontenplan!$C$5),F100-G100,G100-F100)</f>
        <v>0</v>
      </c>
      <c r="V100" s="171">
        <f t="shared" si="44"/>
        <v>94</v>
      </c>
      <c r="W100" s="12">
        <f t="shared" si="45"/>
        <v>67</v>
      </c>
      <c r="X100" s="12">
        <f t="shared" si="46"/>
        <v>69</v>
      </c>
      <c r="Y100" s="12">
        <f>IF(Z100=0,VLOOKUP(W100,Kontenplan!$Y$9:$AA$551,3),"")</f>
        <v>0</v>
      </c>
      <c r="Z100" s="12">
        <f t="shared" si="62"/>
        <v>0</v>
      </c>
      <c r="AA100" s="12" t="str">
        <f t="shared" ca="1" si="63"/>
        <v/>
      </c>
      <c r="AB100" s="46" t="str">
        <f t="shared" ca="1" si="64"/>
        <v/>
      </c>
      <c r="AC100" s="46" t="str">
        <f t="shared" ca="1" si="65"/>
        <v/>
      </c>
      <c r="AD100" s="47"/>
      <c r="AE100" s="12">
        <f>IF(AF100=0,VLOOKUP(X100,Kontenplan!$Z$9:$AB$551,3),"")</f>
        <v>0</v>
      </c>
      <c r="AF100" s="47">
        <f t="shared" si="66"/>
        <v>0</v>
      </c>
      <c r="AG100" s="12" t="str">
        <f t="shared" ca="1" si="67"/>
        <v/>
      </c>
      <c r="AH100" s="46" t="str">
        <f t="shared" ca="1" si="68"/>
        <v/>
      </c>
      <c r="AI100" s="46" t="str">
        <f t="shared" ca="1" si="69"/>
        <v/>
      </c>
      <c r="AJ100" s="46"/>
      <c r="AK100" s="147">
        <f t="shared" ca="1" si="70"/>
        <v>2.0084000000000177</v>
      </c>
      <c r="AL100" s="147">
        <f t="shared" si="71"/>
        <v>2.0087000000000184</v>
      </c>
      <c r="AM100" s="12" t="str">
        <f>IF(V100&lt;=AO$3,VLOOKUP(V100,Kontenplan!$A$9:$D$278,4),"")</f>
        <v/>
      </c>
      <c r="AN100" s="12">
        <f t="shared" si="72"/>
        <v>0</v>
      </c>
      <c r="AO100" s="12" t="str">
        <f t="shared" ca="1" si="73"/>
        <v/>
      </c>
      <c r="AP100" s="46" t="str">
        <f t="shared" ca="1" si="74"/>
        <v/>
      </c>
      <c r="AQ100" s="46" t="str">
        <f t="shared" ca="1" si="75"/>
        <v/>
      </c>
      <c r="AR100" s="46"/>
      <c r="AS100" s="147">
        <f t="shared" ca="1" si="76"/>
        <v>3.0083000000000175</v>
      </c>
      <c r="AT100" s="147">
        <f t="shared" si="77"/>
        <v>2.0088000000000186</v>
      </c>
      <c r="AU100" s="47" t="str">
        <f>IF(V100&lt;=AW$3,VLOOKUP(AO$3+V100,Kontenplan!$A$9:$D$278,4),"")</f>
        <v/>
      </c>
      <c r="AV100" s="12">
        <f t="shared" si="78"/>
        <v>0</v>
      </c>
      <c r="AW100" s="12" t="str">
        <f t="shared" ca="1" si="79"/>
        <v/>
      </c>
      <c r="AX100" s="46" t="str">
        <f t="shared" ca="1" si="47"/>
        <v/>
      </c>
      <c r="AY100" s="46" t="str">
        <f t="shared" ca="1" si="80"/>
        <v/>
      </c>
      <c r="BA100" s="12">
        <f>Kontenplan!R102</f>
        <v>3</v>
      </c>
      <c r="BB100" s="12">
        <f>Kontenplan!S102</f>
        <v>2</v>
      </c>
      <c r="BC100" s="12">
        <f>Kontenplan!T102</f>
        <v>4</v>
      </c>
      <c r="BD100" s="170">
        <f>Kontenplan!U102</f>
        <v>4</v>
      </c>
      <c r="BF100" s="24">
        <f ca="1">SUM(AP$7:AP100)</f>
        <v>0</v>
      </c>
      <c r="BG100" s="46">
        <f ca="1">SUM(AQ$7:AQ99)</f>
        <v>0</v>
      </c>
      <c r="BH100" s="24">
        <f t="shared" ca="1" si="81"/>
        <v>0</v>
      </c>
      <c r="BI100" s="24"/>
      <c r="BJ100" s="24">
        <f ca="1">SUM(AX$7:AX100)</f>
        <v>0</v>
      </c>
      <c r="BK100" s="24">
        <f ca="1">SUM(AY$7:AY99)</f>
        <v>0</v>
      </c>
      <c r="BL100" s="24">
        <f t="shared" ca="1" si="82"/>
        <v>0</v>
      </c>
      <c r="BN100" s="24">
        <f ca="1">SUM(AB$7:AB100)</f>
        <v>0</v>
      </c>
      <c r="BO100" s="46">
        <f ca="1">SUM(AC$7:AC99)</f>
        <v>0</v>
      </c>
      <c r="BP100" s="24">
        <f t="shared" ca="1" si="83"/>
        <v>0</v>
      </c>
      <c r="BR100" s="24">
        <f ca="1">SUM(AH$7:AH100)</f>
        <v>0</v>
      </c>
      <c r="BS100" s="46">
        <f ca="1">SUM(AI$7:AI99)</f>
        <v>0</v>
      </c>
      <c r="BT100" s="24">
        <f t="shared" ca="1" si="84"/>
        <v>0</v>
      </c>
    </row>
    <row r="101" spans="1:72" s="12" customFormat="1">
      <c r="A101" s="202">
        <f>Kontenplan!C103</f>
        <v>0</v>
      </c>
      <c r="B101" s="224">
        <f>Kontenplan!E103</f>
        <v>0</v>
      </c>
      <c r="C101" s="225">
        <f>Kontenplan!F103</f>
        <v>0</v>
      </c>
      <c r="D101" s="43">
        <f>IF(B101=0,0,SUMIF(Journal!$F$7:$F$83,Calc!B101,Journal!$I$7:$I$83))</f>
        <v>0</v>
      </c>
      <c r="E101" s="15">
        <f>IF(B101=0,0,SUMIF(Journal!$G$7:$M175,Calc!B101,Journal!$I$7:$I$83))</f>
        <v>0</v>
      </c>
      <c r="F101" s="44">
        <f t="shared" si="48"/>
        <v>0</v>
      </c>
      <c r="G101" s="15">
        <f t="shared" si="49"/>
        <v>0</v>
      </c>
      <c r="H101" s="14" t="str">
        <f t="shared" si="50"/>
        <v xml:space="preserve"> </v>
      </c>
      <c r="I101" s="43" t="str">
        <f t="shared" si="51"/>
        <v xml:space="preserve"> </v>
      </c>
      <c r="J101" s="45" t="str">
        <f t="shared" si="52"/>
        <v xml:space="preserve"> </v>
      </c>
      <c r="K101" s="48" t="str">
        <f t="shared" si="53"/>
        <v xml:space="preserve"> </v>
      </c>
      <c r="L101" s="45" t="str">
        <f t="shared" si="54"/>
        <v xml:space="preserve"> </v>
      </c>
      <c r="M101" s="48" t="str">
        <f t="shared" si="55"/>
        <v xml:space="preserve"> </v>
      </c>
      <c r="N101" s="24"/>
      <c r="O101" s="12">
        <f t="shared" si="56"/>
        <v>10.01699999999996</v>
      </c>
      <c r="P101" s="12">
        <f t="shared" si="57"/>
        <v>9.0151999999999646</v>
      </c>
      <c r="Q101" s="12">
        <f t="shared" si="58"/>
        <v>31.008999999999979</v>
      </c>
      <c r="R101" s="12">
        <f t="shared" si="59"/>
        <v>29.003199999999993</v>
      </c>
      <c r="S101" s="12">
        <f t="shared" si="60"/>
        <v>0</v>
      </c>
      <c r="T101" s="12">
        <f t="shared" si="61"/>
        <v>0</v>
      </c>
      <c r="U101" s="43">
        <f>IF(OR(A101=Kontenplan!$C$3,A101=Kontenplan!$C$5),F101-G101,G101-F101)</f>
        <v>0</v>
      </c>
      <c r="V101" s="171">
        <f t="shared" si="44"/>
        <v>95</v>
      </c>
      <c r="W101" s="12">
        <f t="shared" si="45"/>
        <v>68</v>
      </c>
      <c r="X101" s="12">
        <f t="shared" si="46"/>
        <v>70</v>
      </c>
      <c r="Y101" s="12">
        <f>IF(Z101=0,VLOOKUP(W101,Kontenplan!$Y$9:$AA$551,3),"")</f>
        <v>0</v>
      </c>
      <c r="Z101" s="12">
        <f t="shared" si="62"/>
        <v>0</v>
      </c>
      <c r="AA101" s="12" t="str">
        <f t="shared" ca="1" si="63"/>
        <v/>
      </c>
      <c r="AB101" s="46" t="str">
        <f t="shared" ca="1" si="64"/>
        <v/>
      </c>
      <c r="AC101" s="46" t="str">
        <f t="shared" ca="1" si="65"/>
        <v/>
      </c>
      <c r="AD101" s="47"/>
      <c r="AE101" s="12">
        <f>IF(AF101=0,VLOOKUP(X101,Kontenplan!$Z$9:$AB$551,3),"")</f>
        <v>0</v>
      </c>
      <c r="AF101" s="47">
        <f t="shared" si="66"/>
        <v>0</v>
      </c>
      <c r="AG101" s="12" t="str">
        <f t="shared" ca="1" si="67"/>
        <v/>
      </c>
      <c r="AH101" s="46" t="str">
        <f t="shared" ca="1" si="68"/>
        <v/>
      </c>
      <c r="AI101" s="46" t="str">
        <f t="shared" ca="1" si="69"/>
        <v/>
      </c>
      <c r="AJ101" s="46"/>
      <c r="AK101" s="147">
        <f t="shared" ca="1" si="70"/>
        <v>2.0085000000000179</v>
      </c>
      <c r="AL101" s="147">
        <f t="shared" si="71"/>
        <v>2.0088000000000186</v>
      </c>
      <c r="AM101" s="12" t="str">
        <f>IF(V101&lt;=AO$3,VLOOKUP(V101,Kontenplan!$A$9:$D$278,4),"")</f>
        <v/>
      </c>
      <c r="AN101" s="12">
        <f t="shared" si="72"/>
        <v>0</v>
      </c>
      <c r="AO101" s="12" t="str">
        <f t="shared" ca="1" si="73"/>
        <v/>
      </c>
      <c r="AP101" s="46" t="str">
        <f t="shared" ca="1" si="74"/>
        <v/>
      </c>
      <c r="AQ101" s="46" t="str">
        <f t="shared" ca="1" si="75"/>
        <v/>
      </c>
      <c r="AR101" s="46"/>
      <c r="AS101" s="147">
        <f t="shared" ca="1" si="76"/>
        <v>3.0084000000000177</v>
      </c>
      <c r="AT101" s="147">
        <f t="shared" si="77"/>
        <v>2.0089000000000188</v>
      </c>
      <c r="AU101" s="47" t="str">
        <f>IF(V101&lt;=AW$3,VLOOKUP(AO$3+V101,Kontenplan!$A$9:$D$278,4),"")</f>
        <v/>
      </c>
      <c r="AV101" s="12">
        <f t="shared" si="78"/>
        <v>0</v>
      </c>
      <c r="AW101" s="12" t="str">
        <f t="shared" ca="1" si="79"/>
        <v/>
      </c>
      <c r="AX101" s="46" t="str">
        <f t="shared" ca="1" si="47"/>
        <v/>
      </c>
      <c r="AY101" s="46" t="str">
        <f t="shared" ca="1" si="80"/>
        <v/>
      </c>
      <c r="BA101" s="12">
        <f>Kontenplan!R103</f>
        <v>3</v>
      </c>
      <c r="BB101" s="12">
        <f>Kontenplan!S103</f>
        <v>2</v>
      </c>
      <c r="BC101" s="12">
        <f>Kontenplan!T103</f>
        <v>4</v>
      </c>
      <c r="BD101" s="170">
        <f>Kontenplan!U103</f>
        <v>4</v>
      </c>
      <c r="BF101" s="24">
        <f ca="1">SUM(AP$7:AP101)</f>
        <v>0</v>
      </c>
      <c r="BG101" s="46">
        <f ca="1">SUM(AQ$7:AQ100)</f>
        <v>0</v>
      </c>
      <c r="BH101" s="24">
        <f t="shared" ca="1" si="81"/>
        <v>0</v>
      </c>
      <c r="BI101" s="24"/>
      <c r="BJ101" s="24">
        <f ca="1">SUM(AX$7:AX101)</f>
        <v>0</v>
      </c>
      <c r="BK101" s="24">
        <f ca="1">SUM(AY$7:AY100)</f>
        <v>0</v>
      </c>
      <c r="BL101" s="24">
        <f t="shared" ca="1" si="82"/>
        <v>0</v>
      </c>
      <c r="BN101" s="24">
        <f ca="1">SUM(AB$7:AB101)</f>
        <v>0</v>
      </c>
      <c r="BO101" s="46">
        <f ca="1">SUM(AC$7:AC100)</f>
        <v>0</v>
      </c>
      <c r="BP101" s="24">
        <f t="shared" ca="1" si="83"/>
        <v>0</v>
      </c>
      <c r="BR101" s="24">
        <f ca="1">SUM(AH$7:AH101)</f>
        <v>0</v>
      </c>
      <c r="BS101" s="46">
        <f ca="1">SUM(AI$7:AI100)</f>
        <v>0</v>
      </c>
      <c r="BT101" s="24">
        <f t="shared" ca="1" si="84"/>
        <v>0</v>
      </c>
    </row>
    <row r="102" spans="1:72" s="12" customFormat="1">
      <c r="A102" s="202">
        <f>Kontenplan!C104</f>
        <v>0</v>
      </c>
      <c r="B102" s="224">
        <f>Kontenplan!E104</f>
        <v>0</v>
      </c>
      <c r="C102" s="225">
        <f>Kontenplan!F104</f>
        <v>0</v>
      </c>
      <c r="D102" s="43">
        <f>IF(B102=0,0,SUMIF(Journal!$F$7:$F$83,Calc!B102,Journal!$I$7:$I$83))</f>
        <v>0</v>
      </c>
      <c r="E102" s="15">
        <f>IF(B102=0,0,SUMIF(Journal!$G$7:$M176,Calc!B102,Journal!$I$7:$I$83))</f>
        <v>0</v>
      </c>
      <c r="F102" s="44">
        <f t="shared" si="48"/>
        <v>0</v>
      </c>
      <c r="G102" s="15">
        <f t="shared" si="49"/>
        <v>0</v>
      </c>
      <c r="H102" s="14" t="str">
        <f t="shared" si="50"/>
        <v xml:space="preserve"> </v>
      </c>
      <c r="I102" s="43" t="str">
        <f t="shared" si="51"/>
        <v xml:space="preserve"> </v>
      </c>
      <c r="J102" s="45" t="str">
        <f t="shared" si="52"/>
        <v xml:space="preserve"> </v>
      </c>
      <c r="K102" s="48" t="str">
        <f t="shared" si="53"/>
        <v xml:space="preserve"> </v>
      </c>
      <c r="L102" s="45" t="str">
        <f t="shared" si="54"/>
        <v xml:space="preserve"> </v>
      </c>
      <c r="M102" s="48" t="str">
        <f t="shared" si="55"/>
        <v xml:space="preserve"> </v>
      </c>
      <c r="N102" s="24"/>
      <c r="O102" s="12">
        <f t="shared" si="56"/>
        <v>10.01719999999996</v>
      </c>
      <c r="P102" s="12">
        <f t="shared" si="57"/>
        <v>9.0153999999999641</v>
      </c>
      <c r="Q102" s="12">
        <f t="shared" si="58"/>
        <v>31.009199999999979</v>
      </c>
      <c r="R102" s="12">
        <f t="shared" si="59"/>
        <v>29.003399999999992</v>
      </c>
      <c r="S102" s="12">
        <f t="shared" si="60"/>
        <v>0</v>
      </c>
      <c r="T102" s="12">
        <f t="shared" si="61"/>
        <v>0</v>
      </c>
      <c r="U102" s="43">
        <f>IF(OR(A102=Kontenplan!$C$3,A102=Kontenplan!$C$5),F102-G102,G102-F102)</f>
        <v>0</v>
      </c>
      <c r="V102" s="171">
        <f t="shared" si="44"/>
        <v>96</v>
      </c>
      <c r="W102" s="12">
        <f t="shared" si="45"/>
        <v>69</v>
      </c>
      <c r="X102" s="12">
        <f t="shared" si="46"/>
        <v>71</v>
      </c>
      <c r="Y102" s="12">
        <f>IF(Z102=0,VLOOKUP(W102,Kontenplan!$Y$9:$AA$551,3),"")</f>
        <v>0</v>
      </c>
      <c r="Z102" s="12">
        <f t="shared" si="62"/>
        <v>0</v>
      </c>
      <c r="AA102" s="12" t="str">
        <f t="shared" ca="1" si="63"/>
        <v/>
      </c>
      <c r="AB102" s="46" t="str">
        <f t="shared" ca="1" si="64"/>
        <v/>
      </c>
      <c r="AC102" s="46" t="str">
        <f t="shared" ca="1" si="65"/>
        <v/>
      </c>
      <c r="AD102" s="47"/>
      <c r="AE102" s="12">
        <f>IF(AF102=0,VLOOKUP(X102,Kontenplan!$Z$9:$AB$551,3),"")</f>
        <v>0</v>
      </c>
      <c r="AF102" s="47">
        <f t="shared" si="66"/>
        <v>0</v>
      </c>
      <c r="AG102" s="12" t="str">
        <f t="shared" ca="1" si="67"/>
        <v/>
      </c>
      <c r="AH102" s="46" t="str">
        <f t="shared" ca="1" si="68"/>
        <v/>
      </c>
      <c r="AI102" s="46" t="str">
        <f t="shared" ca="1" si="69"/>
        <v/>
      </c>
      <c r="AJ102" s="46"/>
      <c r="AK102" s="147">
        <f t="shared" ca="1" si="70"/>
        <v>2.0086000000000181</v>
      </c>
      <c r="AL102" s="147">
        <f t="shared" si="71"/>
        <v>2.0089000000000188</v>
      </c>
      <c r="AM102" s="12" t="str">
        <f>IF(V102&lt;=AO$3,VLOOKUP(V102,Kontenplan!$A$9:$D$278,4),"")</f>
        <v/>
      </c>
      <c r="AN102" s="12">
        <f t="shared" si="72"/>
        <v>0</v>
      </c>
      <c r="AO102" s="12" t="str">
        <f t="shared" ca="1" si="73"/>
        <v/>
      </c>
      <c r="AP102" s="46" t="str">
        <f t="shared" ca="1" si="74"/>
        <v/>
      </c>
      <c r="AQ102" s="46" t="str">
        <f t="shared" ca="1" si="75"/>
        <v/>
      </c>
      <c r="AR102" s="46"/>
      <c r="AS102" s="147">
        <f t="shared" ca="1" si="76"/>
        <v>3.0085000000000179</v>
      </c>
      <c r="AT102" s="147">
        <f t="shared" si="77"/>
        <v>2.009000000000019</v>
      </c>
      <c r="AU102" s="47" t="str">
        <f>IF(V102&lt;=AW$3,VLOOKUP(AO$3+V102,Kontenplan!$A$9:$D$278,4),"")</f>
        <v/>
      </c>
      <c r="AV102" s="12">
        <f t="shared" si="78"/>
        <v>0</v>
      </c>
      <c r="AW102" s="12" t="str">
        <f t="shared" ca="1" si="79"/>
        <v/>
      </c>
      <c r="AX102" s="46" t="str">
        <f t="shared" ca="1" si="47"/>
        <v/>
      </c>
      <c r="AY102" s="46" t="str">
        <f t="shared" ca="1" si="80"/>
        <v/>
      </c>
      <c r="BA102" s="12">
        <f>Kontenplan!R104</f>
        <v>3</v>
      </c>
      <c r="BB102" s="12">
        <f>Kontenplan!S104</f>
        <v>2</v>
      </c>
      <c r="BC102" s="12">
        <f>Kontenplan!T104</f>
        <v>4</v>
      </c>
      <c r="BD102" s="170">
        <f>Kontenplan!U104</f>
        <v>4</v>
      </c>
      <c r="BF102" s="24">
        <f ca="1">SUM(AP$7:AP102)</f>
        <v>0</v>
      </c>
      <c r="BG102" s="46">
        <f ca="1">SUM(AQ$7:AQ101)</f>
        <v>0</v>
      </c>
      <c r="BH102" s="24">
        <f t="shared" ca="1" si="81"/>
        <v>0</v>
      </c>
      <c r="BI102" s="24"/>
      <c r="BJ102" s="24">
        <f ca="1">SUM(AX$7:AX102)</f>
        <v>0</v>
      </c>
      <c r="BK102" s="24">
        <f ca="1">SUM(AY$7:AY101)</f>
        <v>0</v>
      </c>
      <c r="BL102" s="24">
        <f t="shared" ca="1" si="82"/>
        <v>0</v>
      </c>
      <c r="BN102" s="24">
        <f ca="1">SUM(AB$7:AB102)</f>
        <v>0</v>
      </c>
      <c r="BO102" s="46">
        <f ca="1">SUM(AC$7:AC101)</f>
        <v>0</v>
      </c>
      <c r="BP102" s="24">
        <f t="shared" ca="1" si="83"/>
        <v>0</v>
      </c>
      <c r="BR102" s="24">
        <f ca="1">SUM(AH$7:AH102)</f>
        <v>0</v>
      </c>
      <c r="BS102" s="46">
        <f ca="1">SUM(AI$7:AI101)</f>
        <v>0</v>
      </c>
      <c r="BT102" s="24">
        <f t="shared" ca="1" si="84"/>
        <v>0</v>
      </c>
    </row>
    <row r="103" spans="1:72" s="12" customFormat="1">
      <c r="A103" s="202">
        <f>Kontenplan!C105</f>
        <v>0</v>
      </c>
      <c r="B103" s="224">
        <f>Kontenplan!E105</f>
        <v>0</v>
      </c>
      <c r="C103" s="225">
        <f>Kontenplan!F105</f>
        <v>0</v>
      </c>
      <c r="D103" s="43">
        <f>IF(B103=0,0,SUMIF(Journal!$F$7:$F$83,Calc!B103,Journal!$I$7:$I$83))</f>
        <v>0</v>
      </c>
      <c r="E103" s="15">
        <f>IF(B103=0,0,SUMIF(Journal!$G$7:$M177,Calc!B103,Journal!$I$7:$I$83))</f>
        <v>0</v>
      </c>
      <c r="F103" s="44">
        <f t="shared" si="48"/>
        <v>0</v>
      </c>
      <c r="G103" s="15">
        <f t="shared" si="49"/>
        <v>0</v>
      </c>
      <c r="H103" s="14" t="str">
        <f t="shared" si="50"/>
        <v xml:space="preserve"> </v>
      </c>
      <c r="I103" s="43" t="str">
        <f t="shared" si="51"/>
        <v xml:space="preserve"> </v>
      </c>
      <c r="J103" s="45" t="str">
        <f t="shared" si="52"/>
        <v xml:space="preserve"> </v>
      </c>
      <c r="K103" s="48" t="str">
        <f t="shared" si="53"/>
        <v xml:space="preserve"> </v>
      </c>
      <c r="L103" s="45" t="str">
        <f t="shared" si="54"/>
        <v xml:space="preserve"> </v>
      </c>
      <c r="M103" s="48" t="str">
        <f t="shared" si="55"/>
        <v xml:space="preserve"> </v>
      </c>
      <c r="N103" s="24"/>
      <c r="O103" s="12">
        <f t="shared" si="56"/>
        <v>10.017399999999959</v>
      </c>
      <c r="P103" s="12">
        <f t="shared" si="57"/>
        <v>9.0155999999999636</v>
      </c>
      <c r="Q103" s="12">
        <f t="shared" si="58"/>
        <v>31.009399999999978</v>
      </c>
      <c r="R103" s="12">
        <f t="shared" si="59"/>
        <v>29.003599999999992</v>
      </c>
      <c r="S103" s="12">
        <f t="shared" si="60"/>
        <v>0</v>
      </c>
      <c r="T103" s="12">
        <f t="shared" si="61"/>
        <v>0</v>
      </c>
      <c r="U103" s="43">
        <f>IF(OR(A103=Kontenplan!$C$3,A103=Kontenplan!$C$5),F103-G103,G103-F103)</f>
        <v>0</v>
      </c>
      <c r="V103" s="171">
        <f t="shared" si="44"/>
        <v>97</v>
      </c>
      <c r="W103" s="12">
        <f t="shared" si="45"/>
        <v>70</v>
      </c>
      <c r="X103" s="12">
        <f t="shared" si="46"/>
        <v>72</v>
      </c>
      <c r="Y103" s="12">
        <f>IF(Z103=0,VLOOKUP(W103,Kontenplan!$Y$9:$AA$551,3),"")</f>
        <v>0</v>
      </c>
      <c r="Z103" s="12">
        <f t="shared" si="62"/>
        <v>0</v>
      </c>
      <c r="AA103" s="12" t="str">
        <f t="shared" ca="1" si="63"/>
        <v/>
      </c>
      <c r="AB103" s="46" t="str">
        <f t="shared" ca="1" si="64"/>
        <v/>
      </c>
      <c r="AC103" s="46" t="str">
        <f t="shared" ca="1" si="65"/>
        <v/>
      </c>
      <c r="AD103" s="47"/>
      <c r="AE103" s="12">
        <f>IF(AF103=0,VLOOKUP(X103,Kontenplan!$Z$9:$AB$551,3),"")</f>
        <v>0</v>
      </c>
      <c r="AF103" s="47">
        <f t="shared" si="66"/>
        <v>0</v>
      </c>
      <c r="AG103" s="12" t="str">
        <f t="shared" ca="1" si="67"/>
        <v/>
      </c>
      <c r="AH103" s="46" t="str">
        <f t="shared" ca="1" si="68"/>
        <v/>
      </c>
      <c r="AI103" s="46" t="str">
        <f t="shared" ca="1" si="69"/>
        <v/>
      </c>
      <c r="AJ103" s="46"/>
      <c r="AK103" s="147">
        <f t="shared" ca="1" si="70"/>
        <v>2.0087000000000184</v>
      </c>
      <c r="AL103" s="147">
        <f t="shared" si="71"/>
        <v>2.009000000000019</v>
      </c>
      <c r="AM103" s="12" t="str">
        <f>IF(V103&lt;=AO$3,VLOOKUP(V103,Kontenplan!$A$9:$D$278,4),"")</f>
        <v/>
      </c>
      <c r="AN103" s="12">
        <f t="shared" si="72"/>
        <v>0</v>
      </c>
      <c r="AO103" s="12" t="str">
        <f t="shared" ca="1" si="73"/>
        <v/>
      </c>
      <c r="AP103" s="46" t="str">
        <f t="shared" ca="1" si="74"/>
        <v/>
      </c>
      <c r="AQ103" s="46" t="str">
        <f t="shared" ca="1" si="75"/>
        <v/>
      </c>
      <c r="AR103" s="46"/>
      <c r="AS103" s="147">
        <f t="shared" ca="1" si="76"/>
        <v>3.0086000000000181</v>
      </c>
      <c r="AT103" s="147">
        <f t="shared" si="77"/>
        <v>2.0091000000000192</v>
      </c>
      <c r="AU103" s="47" t="str">
        <f>IF(V103&lt;=AW$3,VLOOKUP(AO$3+V103,Kontenplan!$A$9:$D$278,4),"")</f>
        <v/>
      </c>
      <c r="AV103" s="12">
        <f t="shared" si="78"/>
        <v>0</v>
      </c>
      <c r="AW103" s="12" t="str">
        <f t="shared" ca="1" si="79"/>
        <v/>
      </c>
      <c r="AX103" s="46" t="str">
        <f t="shared" ca="1" si="47"/>
        <v/>
      </c>
      <c r="AY103" s="46" t="str">
        <f t="shared" ca="1" si="80"/>
        <v/>
      </c>
      <c r="BA103" s="12">
        <f>Kontenplan!R105</f>
        <v>3</v>
      </c>
      <c r="BB103" s="12">
        <f>Kontenplan!S105</f>
        <v>2</v>
      </c>
      <c r="BC103" s="12">
        <f>Kontenplan!T105</f>
        <v>4</v>
      </c>
      <c r="BD103" s="170">
        <f>Kontenplan!U105</f>
        <v>4</v>
      </c>
      <c r="BF103" s="24">
        <f ca="1">SUM(AP$7:AP103)</f>
        <v>0</v>
      </c>
      <c r="BG103" s="46">
        <f ca="1">SUM(AQ$7:AQ102)</f>
        <v>0</v>
      </c>
      <c r="BH103" s="24">
        <f t="shared" ca="1" si="81"/>
        <v>0</v>
      </c>
      <c r="BI103" s="24"/>
      <c r="BJ103" s="24">
        <f ca="1">SUM(AX$7:AX103)</f>
        <v>0</v>
      </c>
      <c r="BK103" s="24">
        <f ca="1">SUM(AY$7:AY102)</f>
        <v>0</v>
      </c>
      <c r="BL103" s="24">
        <f t="shared" ca="1" si="82"/>
        <v>0</v>
      </c>
      <c r="BN103" s="24">
        <f ca="1">SUM(AB$7:AB103)</f>
        <v>0</v>
      </c>
      <c r="BO103" s="46">
        <f ca="1">SUM(AC$7:AC102)</f>
        <v>0</v>
      </c>
      <c r="BP103" s="24">
        <f t="shared" ca="1" si="83"/>
        <v>0</v>
      </c>
      <c r="BR103" s="24">
        <f ca="1">SUM(AH$7:AH103)</f>
        <v>0</v>
      </c>
      <c r="BS103" s="46">
        <f ca="1">SUM(AI$7:AI102)</f>
        <v>0</v>
      </c>
      <c r="BT103" s="24">
        <f t="shared" ca="1" si="84"/>
        <v>0</v>
      </c>
    </row>
    <row r="104" spans="1:72" s="12" customFormat="1">
      <c r="A104" s="202">
        <f>Kontenplan!C106</f>
        <v>0</v>
      </c>
      <c r="B104" s="224">
        <f>Kontenplan!E106</f>
        <v>0</v>
      </c>
      <c r="C104" s="225">
        <f>Kontenplan!F106</f>
        <v>0</v>
      </c>
      <c r="D104" s="43">
        <f>IF(B104=0,0,SUMIF(Journal!$F$7:$F$83,Calc!B104,Journal!$I$7:$I$83))</f>
        <v>0</v>
      </c>
      <c r="E104" s="15">
        <f>IF(B104=0,0,SUMIF(Journal!$G$7:$M178,Calc!B104,Journal!$I$7:$I$83))</f>
        <v>0</v>
      </c>
      <c r="F104" s="44">
        <f t="shared" si="48"/>
        <v>0</v>
      </c>
      <c r="G104" s="15">
        <f t="shared" si="49"/>
        <v>0</v>
      </c>
      <c r="H104" s="14" t="str">
        <f t="shared" si="50"/>
        <v xml:space="preserve"> </v>
      </c>
      <c r="I104" s="43" t="str">
        <f t="shared" si="51"/>
        <v xml:space="preserve"> </v>
      </c>
      <c r="J104" s="45" t="str">
        <f t="shared" si="52"/>
        <v xml:space="preserve"> </v>
      </c>
      <c r="K104" s="48" t="str">
        <f t="shared" si="53"/>
        <v xml:space="preserve"> </v>
      </c>
      <c r="L104" s="45" t="str">
        <f t="shared" si="54"/>
        <v xml:space="preserve"> </v>
      </c>
      <c r="M104" s="48" t="str">
        <f t="shared" si="55"/>
        <v xml:space="preserve"> </v>
      </c>
      <c r="N104" s="24"/>
      <c r="O104" s="12">
        <f t="shared" si="56"/>
        <v>10.017599999999959</v>
      </c>
      <c r="P104" s="12">
        <f t="shared" si="57"/>
        <v>9.0157999999999632</v>
      </c>
      <c r="Q104" s="12">
        <f t="shared" si="58"/>
        <v>31.009599999999978</v>
      </c>
      <c r="R104" s="12">
        <f t="shared" si="59"/>
        <v>29.003799999999991</v>
      </c>
      <c r="S104" s="12">
        <f t="shared" si="60"/>
        <v>0</v>
      </c>
      <c r="T104" s="12">
        <f t="shared" si="61"/>
        <v>0</v>
      </c>
      <c r="U104" s="43">
        <f>IF(OR(A104=Kontenplan!$C$3,A104=Kontenplan!$C$5),F104-G104,G104-F104)</f>
        <v>0</v>
      </c>
      <c r="V104" s="171">
        <f t="shared" si="44"/>
        <v>98</v>
      </c>
      <c r="W104" s="12">
        <f t="shared" si="45"/>
        <v>71</v>
      </c>
      <c r="X104" s="12">
        <f t="shared" si="46"/>
        <v>73</v>
      </c>
      <c r="Y104" s="12">
        <f>IF(Z104=0,VLOOKUP(W104,Kontenplan!$Y$9:$AA$551,3),"")</f>
        <v>0</v>
      </c>
      <c r="Z104" s="12">
        <f t="shared" si="62"/>
        <v>0</v>
      </c>
      <c r="AA104" s="12" t="str">
        <f t="shared" ca="1" si="63"/>
        <v/>
      </c>
      <c r="AB104" s="46" t="str">
        <f t="shared" ca="1" si="64"/>
        <v/>
      </c>
      <c r="AC104" s="46" t="str">
        <f t="shared" ca="1" si="65"/>
        <v/>
      </c>
      <c r="AD104" s="47"/>
      <c r="AE104" s="12">
        <f>IF(AF104=0,VLOOKUP(X104,Kontenplan!$Z$9:$AB$551,3),"")</f>
        <v>0</v>
      </c>
      <c r="AF104" s="47">
        <f t="shared" si="66"/>
        <v>0</v>
      </c>
      <c r="AG104" s="12" t="str">
        <f t="shared" ca="1" si="67"/>
        <v/>
      </c>
      <c r="AH104" s="46" t="str">
        <f t="shared" ca="1" si="68"/>
        <v/>
      </c>
      <c r="AI104" s="46" t="str">
        <f t="shared" ca="1" si="69"/>
        <v/>
      </c>
      <c r="AJ104" s="46"/>
      <c r="AK104" s="147">
        <f t="shared" ca="1" si="70"/>
        <v>2.0088000000000186</v>
      </c>
      <c r="AL104" s="147">
        <f t="shared" si="71"/>
        <v>2.0091000000000192</v>
      </c>
      <c r="AM104" s="12" t="str">
        <f>IF(V104&lt;=AO$3,VLOOKUP(V104,Kontenplan!$A$9:$D$278,4),"")</f>
        <v/>
      </c>
      <c r="AN104" s="12">
        <f t="shared" si="72"/>
        <v>0</v>
      </c>
      <c r="AO104" s="12" t="str">
        <f t="shared" ca="1" si="73"/>
        <v/>
      </c>
      <c r="AP104" s="46" t="str">
        <f t="shared" ca="1" si="74"/>
        <v/>
      </c>
      <c r="AQ104" s="46" t="str">
        <f t="shared" ca="1" si="75"/>
        <v/>
      </c>
      <c r="AR104" s="46"/>
      <c r="AS104" s="147">
        <f t="shared" ca="1" si="76"/>
        <v>3.0087000000000184</v>
      </c>
      <c r="AT104" s="147">
        <f t="shared" si="77"/>
        <v>2.0092000000000194</v>
      </c>
      <c r="AU104" s="47" t="str">
        <f>IF(V104&lt;=AW$3,VLOOKUP(AO$3+V104,Kontenplan!$A$9:$D$278,4),"")</f>
        <v/>
      </c>
      <c r="AV104" s="12">
        <f t="shared" si="78"/>
        <v>0</v>
      </c>
      <c r="AW104" s="12" t="str">
        <f t="shared" ca="1" si="79"/>
        <v/>
      </c>
      <c r="AX104" s="46" t="str">
        <f t="shared" ca="1" si="47"/>
        <v/>
      </c>
      <c r="AY104" s="46" t="str">
        <f t="shared" ca="1" si="80"/>
        <v/>
      </c>
      <c r="BA104" s="12">
        <f>Kontenplan!R106</f>
        <v>3</v>
      </c>
      <c r="BB104" s="12">
        <f>Kontenplan!S106</f>
        <v>2</v>
      </c>
      <c r="BC104" s="12">
        <f>Kontenplan!T106</f>
        <v>4</v>
      </c>
      <c r="BD104" s="170">
        <f>Kontenplan!U106</f>
        <v>4</v>
      </c>
      <c r="BF104" s="24">
        <f ca="1">SUM(AP$7:AP104)</f>
        <v>0</v>
      </c>
      <c r="BG104" s="46">
        <f ca="1">SUM(AQ$7:AQ103)</f>
        <v>0</v>
      </c>
      <c r="BH104" s="24">
        <f t="shared" ca="1" si="81"/>
        <v>0</v>
      </c>
      <c r="BI104" s="24"/>
      <c r="BJ104" s="24">
        <f ca="1">SUM(AX$7:AX104)</f>
        <v>0</v>
      </c>
      <c r="BK104" s="24">
        <f ca="1">SUM(AY$7:AY103)</f>
        <v>0</v>
      </c>
      <c r="BL104" s="24">
        <f t="shared" ca="1" si="82"/>
        <v>0</v>
      </c>
      <c r="BN104" s="24">
        <f ca="1">SUM(AB$7:AB104)</f>
        <v>0</v>
      </c>
      <c r="BO104" s="46">
        <f ca="1">SUM(AC$7:AC103)</f>
        <v>0</v>
      </c>
      <c r="BP104" s="24">
        <f t="shared" ca="1" si="83"/>
        <v>0</v>
      </c>
      <c r="BR104" s="24">
        <f ca="1">SUM(AH$7:AH104)</f>
        <v>0</v>
      </c>
      <c r="BS104" s="46">
        <f ca="1">SUM(AI$7:AI103)</f>
        <v>0</v>
      </c>
      <c r="BT104" s="24">
        <f t="shared" ca="1" si="84"/>
        <v>0</v>
      </c>
    </row>
    <row r="105" spans="1:72" s="12" customFormat="1">
      <c r="A105" s="202">
        <f>Kontenplan!C107</f>
        <v>0</v>
      </c>
      <c r="B105" s="224">
        <f>Kontenplan!E107</f>
        <v>0</v>
      </c>
      <c r="C105" s="225">
        <f>Kontenplan!F107</f>
        <v>0</v>
      </c>
      <c r="D105" s="43">
        <f>IF(B105=0,0,SUMIF(Journal!$F$7:$F$83,Calc!B105,Journal!$I$7:$I$83))</f>
        <v>0</v>
      </c>
      <c r="E105" s="15">
        <f>IF(B105=0,0,SUMIF(Journal!$G$7:$M179,Calc!B105,Journal!$I$7:$I$83))</f>
        <v>0</v>
      </c>
      <c r="F105" s="44">
        <f t="shared" si="48"/>
        <v>0</v>
      </c>
      <c r="G105" s="15">
        <f t="shared" si="49"/>
        <v>0</v>
      </c>
      <c r="H105" s="14" t="str">
        <f t="shared" si="50"/>
        <v xml:space="preserve"> </v>
      </c>
      <c r="I105" s="43" t="str">
        <f t="shared" si="51"/>
        <v xml:space="preserve"> </v>
      </c>
      <c r="J105" s="45" t="str">
        <f t="shared" si="52"/>
        <v xml:space="preserve"> </v>
      </c>
      <c r="K105" s="48" t="str">
        <f t="shared" si="53"/>
        <v xml:space="preserve"> </v>
      </c>
      <c r="L105" s="45" t="str">
        <f t="shared" si="54"/>
        <v xml:space="preserve"> </v>
      </c>
      <c r="M105" s="48" t="str">
        <f t="shared" si="55"/>
        <v xml:space="preserve"> </v>
      </c>
      <c r="N105" s="24"/>
      <c r="O105" s="12">
        <f t="shared" si="56"/>
        <v>10.017799999999959</v>
      </c>
      <c r="P105" s="12">
        <f t="shared" si="57"/>
        <v>9.0159999999999627</v>
      </c>
      <c r="Q105" s="12">
        <f t="shared" si="58"/>
        <v>31.009799999999977</v>
      </c>
      <c r="R105" s="12">
        <f t="shared" si="59"/>
        <v>29.003999999999991</v>
      </c>
      <c r="S105" s="12">
        <f t="shared" si="60"/>
        <v>0</v>
      </c>
      <c r="T105" s="12">
        <f t="shared" si="61"/>
        <v>0</v>
      </c>
      <c r="U105" s="43">
        <f>IF(OR(A105=Kontenplan!$C$3,A105=Kontenplan!$C$5),F105-G105,G105-F105)</f>
        <v>0</v>
      </c>
      <c r="V105" s="171">
        <f t="shared" si="44"/>
        <v>99</v>
      </c>
      <c r="W105" s="12">
        <f t="shared" si="45"/>
        <v>72</v>
      </c>
      <c r="X105" s="12">
        <f t="shared" si="46"/>
        <v>74</v>
      </c>
      <c r="Y105" s="12">
        <f>IF(Z105=0,VLOOKUP(W105,Kontenplan!$Y$9:$AA$551,3),"")</f>
        <v>0</v>
      </c>
      <c r="Z105" s="12">
        <f t="shared" si="62"/>
        <v>0</v>
      </c>
      <c r="AA105" s="12" t="str">
        <f t="shared" ca="1" si="63"/>
        <v/>
      </c>
      <c r="AB105" s="46" t="str">
        <f t="shared" ca="1" si="64"/>
        <v/>
      </c>
      <c r="AC105" s="46" t="str">
        <f t="shared" ca="1" si="65"/>
        <v/>
      </c>
      <c r="AD105" s="47"/>
      <c r="AE105" s="12">
        <f>IF(AF105=0,VLOOKUP(X105,Kontenplan!$Z$9:$AB$551,3),"")</f>
        <v>0</v>
      </c>
      <c r="AF105" s="47">
        <f t="shared" si="66"/>
        <v>0</v>
      </c>
      <c r="AG105" s="12" t="str">
        <f t="shared" ca="1" si="67"/>
        <v/>
      </c>
      <c r="AH105" s="46" t="str">
        <f t="shared" ca="1" si="68"/>
        <v/>
      </c>
      <c r="AI105" s="46" t="str">
        <f t="shared" ca="1" si="69"/>
        <v/>
      </c>
      <c r="AJ105" s="46"/>
      <c r="AK105" s="147">
        <f t="shared" ca="1" si="70"/>
        <v>2.0089000000000188</v>
      </c>
      <c r="AL105" s="147">
        <f t="shared" si="71"/>
        <v>2.0092000000000194</v>
      </c>
      <c r="AM105" s="12" t="str">
        <f>IF(V105&lt;=AO$3,VLOOKUP(V105,Kontenplan!$A$9:$D$278,4),"")</f>
        <v/>
      </c>
      <c r="AN105" s="12">
        <f t="shared" si="72"/>
        <v>0</v>
      </c>
      <c r="AO105" s="12" t="str">
        <f t="shared" ca="1" si="73"/>
        <v/>
      </c>
      <c r="AP105" s="46" t="str">
        <f t="shared" ca="1" si="74"/>
        <v/>
      </c>
      <c r="AQ105" s="46" t="str">
        <f t="shared" ca="1" si="75"/>
        <v/>
      </c>
      <c r="AR105" s="46"/>
      <c r="AS105" s="147">
        <f t="shared" ca="1" si="76"/>
        <v>3.0088000000000186</v>
      </c>
      <c r="AT105" s="147">
        <f t="shared" si="77"/>
        <v>2.0093000000000196</v>
      </c>
      <c r="AU105" s="47" t="str">
        <f>IF(V105&lt;=AW$3,VLOOKUP(AO$3+V105,Kontenplan!$A$9:$D$278,4),"")</f>
        <v/>
      </c>
      <c r="AV105" s="12">
        <f t="shared" si="78"/>
        <v>0</v>
      </c>
      <c r="AW105" s="12" t="str">
        <f t="shared" ca="1" si="79"/>
        <v/>
      </c>
      <c r="AX105" s="46" t="str">
        <f t="shared" ca="1" si="47"/>
        <v/>
      </c>
      <c r="AY105" s="46" t="str">
        <f t="shared" ca="1" si="80"/>
        <v/>
      </c>
      <c r="BA105" s="12">
        <f>Kontenplan!R107</f>
        <v>3</v>
      </c>
      <c r="BB105" s="12">
        <f>Kontenplan!S107</f>
        <v>2</v>
      </c>
      <c r="BC105" s="12">
        <f>Kontenplan!T107</f>
        <v>4</v>
      </c>
      <c r="BD105" s="170">
        <f>Kontenplan!U107</f>
        <v>4</v>
      </c>
      <c r="BF105" s="24">
        <f ca="1">SUM(AP$7:AP105)</f>
        <v>0</v>
      </c>
      <c r="BG105" s="46">
        <f ca="1">SUM(AQ$7:AQ104)</f>
        <v>0</v>
      </c>
      <c r="BH105" s="24">
        <f t="shared" ca="1" si="81"/>
        <v>0</v>
      </c>
      <c r="BI105" s="24"/>
      <c r="BJ105" s="24">
        <f ca="1">SUM(AX$7:AX105)</f>
        <v>0</v>
      </c>
      <c r="BK105" s="24">
        <f ca="1">SUM(AY$7:AY104)</f>
        <v>0</v>
      </c>
      <c r="BL105" s="24">
        <f t="shared" ca="1" si="82"/>
        <v>0</v>
      </c>
      <c r="BN105" s="24">
        <f ca="1">SUM(AB$7:AB105)</f>
        <v>0</v>
      </c>
      <c r="BO105" s="46">
        <f ca="1">SUM(AC$7:AC104)</f>
        <v>0</v>
      </c>
      <c r="BP105" s="24">
        <f t="shared" ca="1" si="83"/>
        <v>0</v>
      </c>
      <c r="BR105" s="24">
        <f ca="1">SUM(AH$7:AH105)</f>
        <v>0</v>
      </c>
      <c r="BS105" s="46">
        <f ca="1">SUM(AI$7:AI104)</f>
        <v>0</v>
      </c>
      <c r="BT105" s="24">
        <f t="shared" ca="1" si="84"/>
        <v>0</v>
      </c>
    </row>
    <row r="106" spans="1:72" s="12" customFormat="1">
      <c r="A106" s="202">
        <f>Kontenplan!C108</f>
        <v>0</v>
      </c>
      <c r="B106" s="224">
        <f>Kontenplan!E108</f>
        <v>0</v>
      </c>
      <c r="C106" s="225">
        <f>Kontenplan!F108</f>
        <v>0</v>
      </c>
      <c r="D106" s="43">
        <f>IF(B106=0,0,SUMIF(Journal!$F$7:$F$83,Calc!B106,Journal!$I$7:$I$83))</f>
        <v>0</v>
      </c>
      <c r="E106" s="15">
        <f>IF(B106=0,0,SUMIF(Journal!$G$7:$M180,Calc!B106,Journal!$I$7:$I$83))</f>
        <v>0</v>
      </c>
      <c r="F106" s="44">
        <f t="shared" si="48"/>
        <v>0</v>
      </c>
      <c r="G106" s="15">
        <f t="shared" si="49"/>
        <v>0</v>
      </c>
      <c r="H106" s="14" t="str">
        <f t="shared" si="50"/>
        <v xml:space="preserve"> </v>
      </c>
      <c r="I106" s="43" t="str">
        <f t="shared" si="51"/>
        <v xml:space="preserve"> </v>
      </c>
      <c r="J106" s="45" t="str">
        <f t="shared" si="52"/>
        <v xml:space="preserve"> </v>
      </c>
      <c r="K106" s="48" t="str">
        <f t="shared" si="53"/>
        <v xml:space="preserve"> </v>
      </c>
      <c r="L106" s="45" t="str">
        <f t="shared" si="54"/>
        <v xml:space="preserve"> </v>
      </c>
      <c r="M106" s="48" t="str">
        <f t="shared" si="55"/>
        <v xml:space="preserve"> </v>
      </c>
      <c r="N106" s="24"/>
      <c r="O106" s="12">
        <f t="shared" si="56"/>
        <v>10.017999999999958</v>
      </c>
      <c r="P106" s="12">
        <f t="shared" si="57"/>
        <v>9.0161999999999622</v>
      </c>
      <c r="Q106" s="12">
        <f t="shared" si="58"/>
        <v>31.009999999999977</v>
      </c>
      <c r="R106" s="12">
        <f t="shared" si="59"/>
        <v>29.00419999999999</v>
      </c>
      <c r="S106" s="12">
        <f t="shared" si="60"/>
        <v>0</v>
      </c>
      <c r="T106" s="12">
        <f t="shared" si="61"/>
        <v>0</v>
      </c>
      <c r="U106" s="43">
        <f>IF(OR(A106=Kontenplan!$C$3,A106=Kontenplan!$C$5),F106-G106,G106-F106)</f>
        <v>0</v>
      </c>
      <c r="V106" s="171">
        <f t="shared" si="44"/>
        <v>100</v>
      </c>
      <c r="W106" s="12">
        <f t="shared" si="45"/>
        <v>73</v>
      </c>
      <c r="X106" s="12">
        <f t="shared" si="46"/>
        <v>75</v>
      </c>
      <c r="Y106" s="12">
        <f>IF(Z106=0,VLOOKUP(W106,Kontenplan!$Y$9:$AA$551,3),"")</f>
        <v>0</v>
      </c>
      <c r="Z106" s="12">
        <f t="shared" si="62"/>
        <v>0</v>
      </c>
      <c r="AA106" s="12" t="str">
        <f t="shared" ca="1" si="63"/>
        <v/>
      </c>
      <c r="AB106" s="46" t="str">
        <f t="shared" ca="1" si="64"/>
        <v/>
      </c>
      <c r="AC106" s="46" t="str">
        <f t="shared" ca="1" si="65"/>
        <v/>
      </c>
      <c r="AD106" s="47"/>
      <c r="AE106" s="12">
        <f>IF(AF106=0,VLOOKUP(X106,Kontenplan!$Z$9:$AB$551,3),"")</f>
        <v>0</v>
      </c>
      <c r="AF106" s="47">
        <f t="shared" si="66"/>
        <v>0</v>
      </c>
      <c r="AG106" s="12" t="str">
        <f t="shared" ca="1" si="67"/>
        <v/>
      </c>
      <c r="AH106" s="46" t="str">
        <f t="shared" ca="1" si="68"/>
        <v/>
      </c>
      <c r="AI106" s="46" t="str">
        <f t="shared" ca="1" si="69"/>
        <v/>
      </c>
      <c r="AJ106" s="46"/>
      <c r="AK106" s="147">
        <f t="shared" ca="1" si="70"/>
        <v>2.009000000000019</v>
      </c>
      <c r="AL106" s="147">
        <f t="shared" si="71"/>
        <v>2.0093000000000196</v>
      </c>
      <c r="AM106" s="12" t="str">
        <f>IF(V106&lt;=AO$3,VLOOKUP(V106,Kontenplan!$A$9:$D$278,4),"")</f>
        <v/>
      </c>
      <c r="AN106" s="12">
        <f t="shared" si="72"/>
        <v>0</v>
      </c>
      <c r="AO106" s="12" t="str">
        <f t="shared" ca="1" si="73"/>
        <v/>
      </c>
      <c r="AP106" s="46" t="str">
        <f t="shared" ca="1" si="74"/>
        <v/>
      </c>
      <c r="AQ106" s="46" t="str">
        <f t="shared" ca="1" si="75"/>
        <v/>
      </c>
      <c r="AR106" s="46"/>
      <c r="AS106" s="147">
        <f t="shared" ca="1" si="76"/>
        <v>3.0089000000000188</v>
      </c>
      <c r="AT106" s="147">
        <f t="shared" si="77"/>
        <v>2.0094000000000198</v>
      </c>
      <c r="AU106" s="47" t="str">
        <f>IF(V106&lt;=AW$3,VLOOKUP(AO$3+V106,Kontenplan!$A$9:$D$278,4),"")</f>
        <v/>
      </c>
      <c r="AV106" s="12">
        <f t="shared" si="78"/>
        <v>0</v>
      </c>
      <c r="AW106" s="12" t="str">
        <f t="shared" ca="1" si="79"/>
        <v/>
      </c>
      <c r="AX106" s="46" t="str">
        <f t="shared" ca="1" si="47"/>
        <v/>
      </c>
      <c r="AY106" s="46" t="str">
        <f t="shared" ca="1" si="80"/>
        <v/>
      </c>
      <c r="BA106" s="12">
        <f>Kontenplan!R108</f>
        <v>3</v>
      </c>
      <c r="BB106" s="12">
        <f>Kontenplan!S108</f>
        <v>2</v>
      </c>
      <c r="BC106" s="12">
        <f>Kontenplan!T108</f>
        <v>4</v>
      </c>
      <c r="BD106" s="170">
        <f>Kontenplan!U108</f>
        <v>4</v>
      </c>
      <c r="BF106" s="24">
        <f ca="1">SUM(AP$7:AP106)</f>
        <v>0</v>
      </c>
      <c r="BG106" s="46">
        <f ca="1">SUM(AQ$7:AQ105)</f>
        <v>0</v>
      </c>
      <c r="BH106" s="24">
        <f t="shared" ca="1" si="81"/>
        <v>0</v>
      </c>
      <c r="BI106" s="24"/>
      <c r="BJ106" s="24">
        <f ca="1">SUM(AX$7:AX106)</f>
        <v>0</v>
      </c>
      <c r="BK106" s="24">
        <f ca="1">SUM(AY$7:AY105)</f>
        <v>0</v>
      </c>
      <c r="BL106" s="24">
        <f t="shared" ca="1" si="82"/>
        <v>0</v>
      </c>
      <c r="BN106" s="24">
        <f ca="1">SUM(AB$7:AB106)</f>
        <v>0</v>
      </c>
      <c r="BO106" s="46">
        <f ca="1">SUM(AC$7:AC105)</f>
        <v>0</v>
      </c>
      <c r="BP106" s="24">
        <f t="shared" ca="1" si="83"/>
        <v>0</v>
      </c>
      <c r="BR106" s="24">
        <f ca="1">SUM(AH$7:AH106)</f>
        <v>0</v>
      </c>
      <c r="BS106" s="46">
        <f ca="1">SUM(AI$7:AI105)</f>
        <v>0</v>
      </c>
      <c r="BT106" s="24">
        <f t="shared" ca="1" si="84"/>
        <v>0</v>
      </c>
    </row>
    <row r="107" spans="1:72" s="12" customFormat="1">
      <c r="A107" s="202">
        <f>Kontenplan!C109</f>
        <v>0</v>
      </c>
      <c r="B107" s="224">
        <f>Kontenplan!E109</f>
        <v>0</v>
      </c>
      <c r="C107" s="225">
        <f>Kontenplan!F109</f>
        <v>0</v>
      </c>
      <c r="D107" s="43">
        <f>IF(B107=0,0,SUMIF(Journal!$F$7:$F$83,Calc!B107,Journal!$I$7:$I$83))</f>
        <v>0</v>
      </c>
      <c r="E107" s="15">
        <f>IF(B107=0,0,SUMIF(Journal!$G$7:$M181,Calc!B107,Journal!$I$7:$I$83))</f>
        <v>0</v>
      </c>
      <c r="F107" s="44">
        <f t="shared" si="48"/>
        <v>0</v>
      </c>
      <c r="G107" s="15">
        <f t="shared" si="49"/>
        <v>0</v>
      </c>
      <c r="H107" s="14" t="str">
        <f t="shared" si="50"/>
        <v xml:space="preserve"> </v>
      </c>
      <c r="I107" s="43" t="str">
        <f t="shared" si="51"/>
        <v xml:space="preserve"> </v>
      </c>
      <c r="J107" s="45" t="str">
        <f t="shared" si="52"/>
        <v xml:space="preserve"> </v>
      </c>
      <c r="K107" s="48" t="str">
        <f t="shared" si="53"/>
        <v xml:space="preserve"> </v>
      </c>
      <c r="L107" s="45" t="str">
        <f t="shared" si="54"/>
        <v xml:space="preserve"> </v>
      </c>
      <c r="M107" s="48" t="str">
        <f t="shared" si="55"/>
        <v xml:space="preserve"> </v>
      </c>
      <c r="N107" s="24"/>
      <c r="O107" s="12">
        <f t="shared" si="56"/>
        <v>10.018199999999958</v>
      </c>
      <c r="P107" s="12">
        <f t="shared" si="57"/>
        <v>9.0163999999999618</v>
      </c>
      <c r="Q107" s="12">
        <f t="shared" si="58"/>
        <v>31.010199999999976</v>
      </c>
      <c r="R107" s="12">
        <f t="shared" si="59"/>
        <v>29.00439999999999</v>
      </c>
      <c r="S107" s="12">
        <f t="shared" si="60"/>
        <v>0</v>
      </c>
      <c r="T107" s="12">
        <f t="shared" si="61"/>
        <v>0</v>
      </c>
      <c r="U107" s="43">
        <f>IF(OR(A107=Kontenplan!$C$3,A107=Kontenplan!$C$5),F107-G107,G107-F107)</f>
        <v>0</v>
      </c>
      <c r="V107" s="171">
        <f t="shared" si="44"/>
        <v>101</v>
      </c>
      <c r="W107" s="12">
        <f t="shared" si="45"/>
        <v>74</v>
      </c>
      <c r="X107" s="12">
        <f t="shared" si="46"/>
        <v>76</v>
      </c>
      <c r="Y107" s="12">
        <f>IF(Z107=0,VLOOKUP(W107,Kontenplan!$Y$9:$AA$551,3),"")</f>
        <v>0</v>
      </c>
      <c r="Z107" s="12">
        <f t="shared" si="62"/>
        <v>0</v>
      </c>
      <c r="AA107" s="12" t="str">
        <f t="shared" ca="1" si="63"/>
        <v/>
      </c>
      <c r="AB107" s="46" t="str">
        <f t="shared" ca="1" si="64"/>
        <v/>
      </c>
      <c r="AC107" s="46" t="str">
        <f t="shared" ca="1" si="65"/>
        <v/>
      </c>
      <c r="AD107" s="47"/>
      <c r="AE107" s="12">
        <f>IF(AF107=0,VLOOKUP(X107,Kontenplan!$Z$9:$AB$551,3),"")</f>
        <v>0</v>
      </c>
      <c r="AF107" s="47">
        <f t="shared" si="66"/>
        <v>0</v>
      </c>
      <c r="AG107" s="12" t="str">
        <f t="shared" ca="1" si="67"/>
        <v/>
      </c>
      <c r="AH107" s="46" t="str">
        <f t="shared" ca="1" si="68"/>
        <v/>
      </c>
      <c r="AI107" s="46" t="str">
        <f t="shared" ca="1" si="69"/>
        <v/>
      </c>
      <c r="AJ107" s="46"/>
      <c r="AK107" s="147">
        <f t="shared" ca="1" si="70"/>
        <v>2.0091000000000192</v>
      </c>
      <c r="AL107" s="147">
        <f t="shared" si="71"/>
        <v>2.0094000000000198</v>
      </c>
      <c r="AM107" s="12" t="str">
        <f>IF(V107&lt;=AO$3,VLOOKUP(V107,Kontenplan!$A$9:$D$278,4),"")</f>
        <v/>
      </c>
      <c r="AN107" s="12">
        <f t="shared" si="72"/>
        <v>0</v>
      </c>
      <c r="AO107" s="12" t="str">
        <f t="shared" ca="1" si="73"/>
        <v/>
      </c>
      <c r="AP107" s="46" t="str">
        <f t="shared" ca="1" si="74"/>
        <v/>
      </c>
      <c r="AQ107" s="46" t="str">
        <f t="shared" ca="1" si="75"/>
        <v/>
      </c>
      <c r="AR107" s="46"/>
      <c r="AS107" s="147">
        <f t="shared" ca="1" si="76"/>
        <v>3.009000000000019</v>
      </c>
      <c r="AT107" s="147">
        <f t="shared" si="77"/>
        <v>2.00950000000002</v>
      </c>
      <c r="AU107" s="47" t="str">
        <f>IF(V107&lt;=AW$3,VLOOKUP(AO$3+V107,Kontenplan!$A$9:$D$278,4),"")</f>
        <v/>
      </c>
      <c r="AV107" s="12">
        <f t="shared" si="78"/>
        <v>0</v>
      </c>
      <c r="AW107" s="12" t="str">
        <f t="shared" ca="1" si="79"/>
        <v/>
      </c>
      <c r="AX107" s="46" t="str">
        <f t="shared" ca="1" si="47"/>
        <v/>
      </c>
      <c r="AY107" s="46" t="str">
        <f t="shared" ca="1" si="80"/>
        <v/>
      </c>
      <c r="BA107" s="12">
        <f>Kontenplan!R109</f>
        <v>3</v>
      </c>
      <c r="BB107" s="12">
        <f>Kontenplan!S109</f>
        <v>2</v>
      </c>
      <c r="BC107" s="12">
        <f>Kontenplan!T109</f>
        <v>4</v>
      </c>
      <c r="BD107" s="170">
        <f>Kontenplan!U109</f>
        <v>4</v>
      </c>
      <c r="BF107" s="24">
        <f ca="1">SUM(AP$7:AP107)</f>
        <v>0</v>
      </c>
      <c r="BG107" s="46">
        <f ca="1">SUM(AQ$7:AQ106)</f>
        <v>0</v>
      </c>
      <c r="BH107" s="24">
        <f t="shared" ca="1" si="81"/>
        <v>0</v>
      </c>
      <c r="BI107" s="24"/>
      <c r="BJ107" s="24">
        <f ca="1">SUM(AX$7:AX107)</f>
        <v>0</v>
      </c>
      <c r="BK107" s="24">
        <f ca="1">SUM(AY$7:AY106)</f>
        <v>0</v>
      </c>
      <c r="BL107" s="24">
        <f t="shared" ca="1" si="82"/>
        <v>0</v>
      </c>
      <c r="BN107" s="24">
        <f ca="1">SUM(AB$7:AB107)</f>
        <v>0</v>
      </c>
      <c r="BO107" s="46">
        <f ca="1">SUM(AC$7:AC106)</f>
        <v>0</v>
      </c>
      <c r="BP107" s="24">
        <f t="shared" ca="1" si="83"/>
        <v>0</v>
      </c>
      <c r="BR107" s="24">
        <f ca="1">SUM(AH$7:AH107)</f>
        <v>0</v>
      </c>
      <c r="BS107" s="46">
        <f ca="1">SUM(AI$7:AI106)</f>
        <v>0</v>
      </c>
      <c r="BT107" s="24">
        <f t="shared" ca="1" si="84"/>
        <v>0</v>
      </c>
    </row>
    <row r="108" spans="1:72" s="12" customFormat="1">
      <c r="A108" s="202">
        <f>Kontenplan!C110</f>
        <v>0</v>
      </c>
      <c r="B108" s="224">
        <f>Kontenplan!E110</f>
        <v>0</v>
      </c>
      <c r="C108" s="225">
        <f>Kontenplan!F110</f>
        <v>0</v>
      </c>
      <c r="D108" s="43">
        <f>IF(B108=0,0,SUMIF(Journal!$F$7:$F$83,Calc!B108,Journal!$I$7:$I$83))</f>
        <v>0</v>
      </c>
      <c r="E108" s="15">
        <f>IF(B108=0,0,SUMIF(Journal!$G$7:$M182,Calc!B108,Journal!$I$7:$I$83))</f>
        <v>0</v>
      </c>
      <c r="F108" s="44">
        <f t="shared" si="48"/>
        <v>0</v>
      </c>
      <c r="G108" s="15">
        <f t="shared" si="49"/>
        <v>0</v>
      </c>
      <c r="H108" s="14" t="str">
        <f t="shared" si="50"/>
        <v xml:space="preserve"> </v>
      </c>
      <c r="I108" s="43" t="str">
        <f t="shared" si="51"/>
        <v xml:space="preserve"> </v>
      </c>
      <c r="J108" s="45" t="str">
        <f t="shared" si="52"/>
        <v xml:space="preserve"> </v>
      </c>
      <c r="K108" s="48" t="str">
        <f t="shared" si="53"/>
        <v xml:space="preserve"> </v>
      </c>
      <c r="L108" s="45" t="str">
        <f t="shared" si="54"/>
        <v xml:space="preserve"> </v>
      </c>
      <c r="M108" s="48" t="str">
        <f t="shared" si="55"/>
        <v xml:space="preserve"> </v>
      </c>
      <c r="N108" s="24"/>
      <c r="O108" s="12">
        <f t="shared" si="56"/>
        <v>10.018399999999957</v>
      </c>
      <c r="P108" s="12">
        <f t="shared" si="57"/>
        <v>9.0165999999999613</v>
      </c>
      <c r="Q108" s="12">
        <f t="shared" si="58"/>
        <v>31.010399999999976</v>
      </c>
      <c r="R108" s="12">
        <f t="shared" si="59"/>
        <v>29.004599999999989</v>
      </c>
      <c r="S108" s="12">
        <f t="shared" si="60"/>
        <v>0</v>
      </c>
      <c r="T108" s="12">
        <f t="shared" si="61"/>
        <v>0</v>
      </c>
      <c r="U108" s="43">
        <f>IF(OR(A108=Kontenplan!$C$3,A108=Kontenplan!$C$5),F108-G108,G108-F108)</f>
        <v>0</v>
      </c>
      <c r="V108" s="171">
        <f t="shared" si="44"/>
        <v>102</v>
      </c>
      <c r="W108" s="12">
        <f t="shared" si="45"/>
        <v>75</v>
      </c>
      <c r="X108" s="12">
        <f t="shared" si="46"/>
        <v>77</v>
      </c>
      <c r="Y108" s="12">
        <f>IF(Z108=0,VLOOKUP(W108,Kontenplan!$Y$9:$AA$551,3),"")</f>
        <v>0</v>
      </c>
      <c r="Z108" s="12">
        <f t="shared" si="62"/>
        <v>0</v>
      </c>
      <c r="AA108" s="12" t="str">
        <f t="shared" ca="1" si="63"/>
        <v/>
      </c>
      <c r="AB108" s="46" t="str">
        <f t="shared" ca="1" si="64"/>
        <v/>
      </c>
      <c r="AC108" s="46" t="str">
        <f t="shared" ca="1" si="65"/>
        <v/>
      </c>
      <c r="AD108" s="47"/>
      <c r="AE108" s="12">
        <f>IF(AF108=0,VLOOKUP(X108,Kontenplan!$Z$9:$AB$551,3),"")</f>
        <v>0</v>
      </c>
      <c r="AF108" s="47">
        <f t="shared" si="66"/>
        <v>0</v>
      </c>
      <c r="AG108" s="12" t="str">
        <f t="shared" ca="1" si="67"/>
        <v/>
      </c>
      <c r="AH108" s="46" t="str">
        <f t="shared" ca="1" si="68"/>
        <v/>
      </c>
      <c r="AI108" s="46" t="str">
        <f t="shared" ca="1" si="69"/>
        <v/>
      </c>
      <c r="AJ108" s="46"/>
      <c r="AK108" s="147">
        <f t="shared" ca="1" si="70"/>
        <v>2.0092000000000194</v>
      </c>
      <c r="AL108" s="147">
        <f t="shared" si="71"/>
        <v>2.00950000000002</v>
      </c>
      <c r="AM108" s="12" t="str">
        <f>IF(V108&lt;=AO$3,VLOOKUP(V108,Kontenplan!$A$9:$D$278,4),"")</f>
        <v/>
      </c>
      <c r="AN108" s="12">
        <f t="shared" si="72"/>
        <v>0</v>
      </c>
      <c r="AO108" s="12" t="str">
        <f t="shared" ca="1" si="73"/>
        <v/>
      </c>
      <c r="AP108" s="46" t="str">
        <f t="shared" ca="1" si="74"/>
        <v/>
      </c>
      <c r="AQ108" s="46" t="str">
        <f t="shared" ca="1" si="75"/>
        <v/>
      </c>
      <c r="AR108" s="46"/>
      <c r="AS108" s="147">
        <f t="shared" ca="1" si="76"/>
        <v>3.0091000000000192</v>
      </c>
      <c r="AT108" s="147">
        <f t="shared" si="77"/>
        <v>2.0096000000000203</v>
      </c>
      <c r="AU108" s="47" t="str">
        <f>IF(V108&lt;=AW$3,VLOOKUP(AO$3+V108,Kontenplan!$A$9:$D$278,4),"")</f>
        <v/>
      </c>
      <c r="AV108" s="12">
        <f t="shared" si="78"/>
        <v>0</v>
      </c>
      <c r="AW108" s="12" t="str">
        <f t="shared" ca="1" si="79"/>
        <v/>
      </c>
      <c r="AX108" s="46" t="str">
        <f t="shared" ca="1" si="47"/>
        <v/>
      </c>
      <c r="AY108" s="46" t="str">
        <f t="shared" ca="1" si="80"/>
        <v/>
      </c>
      <c r="BA108" s="12">
        <f>Kontenplan!R110</f>
        <v>3</v>
      </c>
      <c r="BB108" s="12">
        <f>Kontenplan!S110</f>
        <v>2</v>
      </c>
      <c r="BC108" s="12">
        <f>Kontenplan!T110</f>
        <v>4</v>
      </c>
      <c r="BD108" s="170">
        <f>Kontenplan!U110</f>
        <v>4</v>
      </c>
      <c r="BF108" s="24">
        <f ca="1">SUM(AP$7:AP108)</f>
        <v>0</v>
      </c>
      <c r="BG108" s="46">
        <f ca="1">SUM(AQ$7:AQ107)</f>
        <v>0</v>
      </c>
      <c r="BH108" s="24">
        <f t="shared" ca="1" si="81"/>
        <v>0</v>
      </c>
      <c r="BI108" s="24"/>
      <c r="BJ108" s="24">
        <f ca="1">SUM(AX$7:AX108)</f>
        <v>0</v>
      </c>
      <c r="BK108" s="24">
        <f ca="1">SUM(AY$7:AY107)</f>
        <v>0</v>
      </c>
      <c r="BL108" s="24">
        <f t="shared" ca="1" si="82"/>
        <v>0</v>
      </c>
      <c r="BN108" s="24">
        <f ca="1">SUM(AB$7:AB108)</f>
        <v>0</v>
      </c>
      <c r="BO108" s="46">
        <f ca="1">SUM(AC$7:AC107)</f>
        <v>0</v>
      </c>
      <c r="BP108" s="24">
        <f t="shared" ca="1" si="83"/>
        <v>0</v>
      </c>
      <c r="BR108" s="24">
        <f ca="1">SUM(AH$7:AH108)</f>
        <v>0</v>
      </c>
      <c r="BS108" s="46">
        <f ca="1">SUM(AI$7:AI107)</f>
        <v>0</v>
      </c>
      <c r="BT108" s="24">
        <f t="shared" ca="1" si="84"/>
        <v>0</v>
      </c>
    </row>
    <row r="109" spans="1:72" s="12" customFormat="1">
      <c r="A109" s="202">
        <f>Kontenplan!C111</f>
        <v>0</v>
      </c>
      <c r="B109" s="224">
        <f>Kontenplan!E111</f>
        <v>0</v>
      </c>
      <c r="C109" s="225">
        <f>Kontenplan!F111</f>
        <v>0</v>
      </c>
      <c r="D109" s="43">
        <f>IF(B109=0,0,SUMIF(Journal!$F$7:$F$83,Calc!B109,Journal!$I$7:$I$83))</f>
        <v>0</v>
      </c>
      <c r="E109" s="15">
        <f>IF(B109=0,0,SUMIF(Journal!$G$7:$M183,Calc!B109,Journal!$I$7:$I$83))</f>
        <v>0</v>
      </c>
      <c r="F109" s="44">
        <f t="shared" si="48"/>
        <v>0</v>
      </c>
      <c r="G109" s="15">
        <f t="shared" si="49"/>
        <v>0</v>
      </c>
      <c r="H109" s="14" t="str">
        <f t="shared" si="50"/>
        <v xml:space="preserve"> </v>
      </c>
      <c r="I109" s="43" t="str">
        <f t="shared" si="51"/>
        <v xml:space="preserve"> </v>
      </c>
      <c r="J109" s="45" t="str">
        <f t="shared" si="52"/>
        <v xml:space="preserve"> </v>
      </c>
      <c r="K109" s="48" t="str">
        <f t="shared" si="53"/>
        <v xml:space="preserve"> </v>
      </c>
      <c r="L109" s="45" t="str">
        <f t="shared" si="54"/>
        <v xml:space="preserve"> </v>
      </c>
      <c r="M109" s="48" t="str">
        <f t="shared" si="55"/>
        <v xml:space="preserve"> </v>
      </c>
      <c r="N109" s="24"/>
      <c r="O109" s="12">
        <f t="shared" si="56"/>
        <v>10.018599999999957</v>
      </c>
      <c r="P109" s="12">
        <f t="shared" si="57"/>
        <v>9.0167999999999608</v>
      </c>
      <c r="Q109" s="12">
        <f t="shared" si="58"/>
        <v>31.010599999999975</v>
      </c>
      <c r="R109" s="12">
        <f t="shared" si="59"/>
        <v>29.004799999999989</v>
      </c>
      <c r="S109" s="12">
        <f t="shared" si="60"/>
        <v>0</v>
      </c>
      <c r="T109" s="12">
        <f t="shared" si="61"/>
        <v>0</v>
      </c>
      <c r="U109" s="43">
        <f>IF(OR(A109=Kontenplan!$C$3,A109=Kontenplan!$C$5),F109-G109,G109-F109)</f>
        <v>0</v>
      </c>
      <c r="V109" s="171">
        <f t="shared" si="44"/>
        <v>103</v>
      </c>
      <c r="W109" s="12">
        <f t="shared" si="45"/>
        <v>76</v>
      </c>
      <c r="X109" s="12">
        <f t="shared" si="46"/>
        <v>78</v>
      </c>
      <c r="Y109" s="12">
        <f>IF(Z109=0,VLOOKUP(W109,Kontenplan!$Y$9:$AA$551,3),"")</f>
        <v>0</v>
      </c>
      <c r="Z109" s="12">
        <f t="shared" si="62"/>
        <v>0</v>
      </c>
      <c r="AA109" s="12" t="str">
        <f t="shared" ca="1" si="63"/>
        <v/>
      </c>
      <c r="AB109" s="46" t="str">
        <f t="shared" ca="1" si="64"/>
        <v/>
      </c>
      <c r="AC109" s="46" t="str">
        <f t="shared" ca="1" si="65"/>
        <v/>
      </c>
      <c r="AD109" s="47"/>
      <c r="AE109" s="12">
        <f>IF(AF109=0,VLOOKUP(X109,Kontenplan!$Z$9:$AB$551,3),"")</f>
        <v>0</v>
      </c>
      <c r="AF109" s="47">
        <f t="shared" si="66"/>
        <v>0</v>
      </c>
      <c r="AG109" s="12" t="str">
        <f t="shared" ca="1" si="67"/>
        <v/>
      </c>
      <c r="AH109" s="46" t="str">
        <f t="shared" ca="1" si="68"/>
        <v/>
      </c>
      <c r="AI109" s="46" t="str">
        <f t="shared" ca="1" si="69"/>
        <v/>
      </c>
      <c r="AJ109" s="46"/>
      <c r="AK109" s="147">
        <f t="shared" ca="1" si="70"/>
        <v>2.0093000000000196</v>
      </c>
      <c r="AL109" s="147">
        <f t="shared" si="71"/>
        <v>2.0096000000000203</v>
      </c>
      <c r="AM109" s="12" t="str">
        <f>IF(V109&lt;=AO$3,VLOOKUP(V109,Kontenplan!$A$9:$D$278,4),"")</f>
        <v/>
      </c>
      <c r="AN109" s="12">
        <f t="shared" si="72"/>
        <v>0</v>
      </c>
      <c r="AO109" s="12" t="str">
        <f t="shared" ca="1" si="73"/>
        <v/>
      </c>
      <c r="AP109" s="46" t="str">
        <f t="shared" ca="1" si="74"/>
        <v/>
      </c>
      <c r="AQ109" s="46" t="str">
        <f t="shared" ca="1" si="75"/>
        <v/>
      </c>
      <c r="AR109" s="46"/>
      <c r="AS109" s="147">
        <f t="shared" ca="1" si="76"/>
        <v>3.0092000000000194</v>
      </c>
      <c r="AT109" s="147">
        <f t="shared" si="77"/>
        <v>2.0097000000000205</v>
      </c>
      <c r="AU109" s="47" t="str">
        <f>IF(V109&lt;=AW$3,VLOOKUP(AO$3+V109,Kontenplan!$A$9:$D$278,4),"")</f>
        <v/>
      </c>
      <c r="AV109" s="12">
        <f t="shared" si="78"/>
        <v>0</v>
      </c>
      <c r="AW109" s="12" t="str">
        <f t="shared" ca="1" si="79"/>
        <v/>
      </c>
      <c r="AX109" s="46" t="str">
        <f t="shared" ca="1" si="47"/>
        <v/>
      </c>
      <c r="AY109" s="46" t="str">
        <f t="shared" ca="1" si="80"/>
        <v/>
      </c>
      <c r="BA109" s="12">
        <f>Kontenplan!R111</f>
        <v>3</v>
      </c>
      <c r="BB109" s="12">
        <f>Kontenplan!S111</f>
        <v>2</v>
      </c>
      <c r="BC109" s="12">
        <f>Kontenplan!T111</f>
        <v>4</v>
      </c>
      <c r="BD109" s="170">
        <f>Kontenplan!U111</f>
        <v>4</v>
      </c>
      <c r="BF109" s="24">
        <f ca="1">SUM(AP$7:AP109)</f>
        <v>0</v>
      </c>
      <c r="BG109" s="46">
        <f ca="1">SUM(AQ$7:AQ108)</f>
        <v>0</v>
      </c>
      <c r="BH109" s="24">
        <f t="shared" ca="1" si="81"/>
        <v>0</v>
      </c>
      <c r="BI109" s="24"/>
      <c r="BJ109" s="24">
        <f ca="1">SUM(AX$7:AX109)</f>
        <v>0</v>
      </c>
      <c r="BK109" s="24">
        <f ca="1">SUM(AY$7:AY108)</f>
        <v>0</v>
      </c>
      <c r="BL109" s="24">
        <f t="shared" ca="1" si="82"/>
        <v>0</v>
      </c>
      <c r="BN109" s="24">
        <f ca="1">SUM(AB$7:AB109)</f>
        <v>0</v>
      </c>
      <c r="BO109" s="46">
        <f ca="1">SUM(AC$7:AC108)</f>
        <v>0</v>
      </c>
      <c r="BP109" s="24">
        <f t="shared" ca="1" si="83"/>
        <v>0</v>
      </c>
      <c r="BR109" s="24">
        <f ca="1">SUM(AH$7:AH109)</f>
        <v>0</v>
      </c>
      <c r="BS109" s="46">
        <f ca="1">SUM(AI$7:AI108)</f>
        <v>0</v>
      </c>
      <c r="BT109" s="24">
        <f t="shared" ca="1" si="84"/>
        <v>0</v>
      </c>
    </row>
    <row r="110" spans="1:72" s="12" customFormat="1">
      <c r="A110" s="202">
        <f>Kontenplan!C112</f>
        <v>0</v>
      </c>
      <c r="B110" s="224">
        <f>Kontenplan!E112</f>
        <v>0</v>
      </c>
      <c r="C110" s="225">
        <f>Kontenplan!F112</f>
        <v>0</v>
      </c>
      <c r="D110" s="43">
        <f>IF(B110=0,0,SUMIF(Journal!$F$7:$F$83,Calc!B110,Journal!$I$7:$I$83))</f>
        <v>0</v>
      </c>
      <c r="E110" s="15">
        <f>IF(B110=0,0,SUMIF(Journal!$G$7:$M184,Calc!B110,Journal!$I$7:$I$83))</f>
        <v>0</v>
      </c>
      <c r="F110" s="44">
        <f t="shared" si="48"/>
        <v>0</v>
      </c>
      <c r="G110" s="15">
        <f t="shared" si="49"/>
        <v>0</v>
      </c>
      <c r="H110" s="14" t="str">
        <f t="shared" si="50"/>
        <v xml:space="preserve"> </v>
      </c>
      <c r="I110" s="43" t="str">
        <f t="shared" si="51"/>
        <v xml:space="preserve"> </v>
      </c>
      <c r="J110" s="45" t="str">
        <f t="shared" si="52"/>
        <v xml:space="preserve"> </v>
      </c>
      <c r="K110" s="48" t="str">
        <f t="shared" si="53"/>
        <v xml:space="preserve"> </v>
      </c>
      <c r="L110" s="45" t="str">
        <f t="shared" si="54"/>
        <v xml:space="preserve"> </v>
      </c>
      <c r="M110" s="48" t="str">
        <f t="shared" si="55"/>
        <v xml:space="preserve"> </v>
      </c>
      <c r="N110" s="24"/>
      <c r="O110" s="12">
        <f t="shared" si="56"/>
        <v>10.018799999999956</v>
      </c>
      <c r="P110" s="12">
        <f t="shared" si="57"/>
        <v>9.0169999999999604</v>
      </c>
      <c r="Q110" s="12">
        <f t="shared" si="58"/>
        <v>31.010799999999975</v>
      </c>
      <c r="R110" s="12">
        <f t="shared" si="59"/>
        <v>29.004999999999988</v>
      </c>
      <c r="S110" s="12">
        <f t="shared" si="60"/>
        <v>0</v>
      </c>
      <c r="T110" s="12">
        <f t="shared" si="61"/>
        <v>0</v>
      </c>
      <c r="U110" s="43">
        <f>IF(OR(A110=Kontenplan!$C$3,A110=Kontenplan!$C$5),F110-G110,G110-F110)</f>
        <v>0</v>
      </c>
      <c r="V110" s="171">
        <f t="shared" si="44"/>
        <v>104</v>
      </c>
      <c r="W110" s="12">
        <f t="shared" si="45"/>
        <v>77</v>
      </c>
      <c r="X110" s="12">
        <f t="shared" si="46"/>
        <v>79</v>
      </c>
      <c r="Y110" s="12">
        <f>IF(Z110=0,VLOOKUP(W110,Kontenplan!$Y$9:$AA$551,3),"")</f>
        <v>0</v>
      </c>
      <c r="Z110" s="12">
        <f t="shared" si="62"/>
        <v>0</v>
      </c>
      <c r="AA110" s="12" t="str">
        <f t="shared" ca="1" si="63"/>
        <v/>
      </c>
      <c r="AB110" s="46" t="str">
        <f t="shared" ca="1" si="64"/>
        <v/>
      </c>
      <c r="AC110" s="46" t="str">
        <f t="shared" ca="1" si="65"/>
        <v/>
      </c>
      <c r="AD110" s="47"/>
      <c r="AE110" s="12">
        <f>IF(AF110=0,VLOOKUP(X110,Kontenplan!$Z$9:$AB$551,3),"")</f>
        <v>0</v>
      </c>
      <c r="AF110" s="47">
        <f t="shared" si="66"/>
        <v>0</v>
      </c>
      <c r="AG110" s="12" t="str">
        <f t="shared" ca="1" si="67"/>
        <v/>
      </c>
      <c r="AH110" s="46" t="str">
        <f t="shared" ca="1" si="68"/>
        <v/>
      </c>
      <c r="AI110" s="46" t="str">
        <f t="shared" ca="1" si="69"/>
        <v/>
      </c>
      <c r="AJ110" s="46"/>
      <c r="AK110" s="147">
        <f t="shared" ca="1" si="70"/>
        <v>2.0094000000000198</v>
      </c>
      <c r="AL110" s="147">
        <f t="shared" si="71"/>
        <v>2.0097000000000205</v>
      </c>
      <c r="AM110" s="12" t="str">
        <f>IF(V110&lt;=AO$3,VLOOKUP(V110,Kontenplan!$A$9:$D$278,4),"")</f>
        <v/>
      </c>
      <c r="AN110" s="12">
        <f t="shared" si="72"/>
        <v>0</v>
      </c>
      <c r="AO110" s="12" t="str">
        <f t="shared" ca="1" si="73"/>
        <v/>
      </c>
      <c r="AP110" s="46" t="str">
        <f t="shared" ca="1" si="74"/>
        <v/>
      </c>
      <c r="AQ110" s="46" t="str">
        <f t="shared" ca="1" si="75"/>
        <v/>
      </c>
      <c r="AR110" s="46"/>
      <c r="AS110" s="147">
        <f t="shared" ca="1" si="76"/>
        <v>3.0093000000000196</v>
      </c>
      <c r="AT110" s="147">
        <f t="shared" si="77"/>
        <v>2.0098000000000207</v>
      </c>
      <c r="AU110" s="47" t="str">
        <f>IF(V110&lt;=AW$3,VLOOKUP(AO$3+V110,Kontenplan!$A$9:$D$278,4),"")</f>
        <v/>
      </c>
      <c r="AV110" s="12">
        <f t="shared" si="78"/>
        <v>0</v>
      </c>
      <c r="AW110" s="12" t="str">
        <f t="shared" ca="1" si="79"/>
        <v/>
      </c>
      <c r="AX110" s="46" t="str">
        <f t="shared" ca="1" si="47"/>
        <v/>
      </c>
      <c r="AY110" s="46" t="str">
        <f t="shared" ca="1" si="80"/>
        <v/>
      </c>
      <c r="BA110" s="12">
        <f>Kontenplan!R112</f>
        <v>3</v>
      </c>
      <c r="BB110" s="12">
        <f>Kontenplan!S112</f>
        <v>2</v>
      </c>
      <c r="BC110" s="12">
        <f>Kontenplan!T112</f>
        <v>4</v>
      </c>
      <c r="BD110" s="170">
        <f>Kontenplan!U112</f>
        <v>4</v>
      </c>
      <c r="BF110" s="24">
        <f ca="1">SUM(AP$7:AP110)</f>
        <v>0</v>
      </c>
      <c r="BG110" s="46">
        <f ca="1">SUM(AQ$7:AQ109)</f>
        <v>0</v>
      </c>
      <c r="BH110" s="24">
        <f t="shared" ca="1" si="81"/>
        <v>0</v>
      </c>
      <c r="BI110" s="24"/>
      <c r="BJ110" s="24">
        <f ca="1">SUM(AX$7:AX110)</f>
        <v>0</v>
      </c>
      <c r="BK110" s="24">
        <f ca="1">SUM(AY$7:AY109)</f>
        <v>0</v>
      </c>
      <c r="BL110" s="24">
        <f t="shared" ca="1" si="82"/>
        <v>0</v>
      </c>
      <c r="BN110" s="24">
        <f ca="1">SUM(AB$7:AB110)</f>
        <v>0</v>
      </c>
      <c r="BO110" s="46">
        <f ca="1">SUM(AC$7:AC109)</f>
        <v>0</v>
      </c>
      <c r="BP110" s="24">
        <f t="shared" ca="1" si="83"/>
        <v>0</v>
      </c>
      <c r="BR110" s="24">
        <f ca="1">SUM(AH$7:AH110)</f>
        <v>0</v>
      </c>
      <c r="BS110" s="46">
        <f ca="1">SUM(AI$7:AI109)</f>
        <v>0</v>
      </c>
      <c r="BT110" s="24">
        <f t="shared" ca="1" si="84"/>
        <v>0</v>
      </c>
    </row>
    <row r="111" spans="1:72" s="12" customFormat="1">
      <c r="A111" s="202">
        <f>Kontenplan!C113</f>
        <v>0</v>
      </c>
      <c r="B111" s="224">
        <f>Kontenplan!E113</f>
        <v>0</v>
      </c>
      <c r="C111" s="225">
        <f>Kontenplan!F113</f>
        <v>0</v>
      </c>
      <c r="D111" s="43">
        <f>IF(B111=0,0,SUMIF(Journal!$F$7:$F$83,Calc!B111,Journal!$I$7:$I$83))</f>
        <v>0</v>
      </c>
      <c r="E111" s="15">
        <f>IF(B111=0,0,SUMIF(Journal!$G$7:$M185,Calc!B111,Journal!$I$7:$I$83))</f>
        <v>0</v>
      </c>
      <c r="F111" s="44">
        <f t="shared" si="48"/>
        <v>0</v>
      </c>
      <c r="G111" s="15">
        <f t="shared" si="49"/>
        <v>0</v>
      </c>
      <c r="H111" s="14" t="str">
        <f t="shared" si="50"/>
        <v xml:space="preserve"> </v>
      </c>
      <c r="I111" s="43" t="str">
        <f t="shared" si="51"/>
        <v xml:space="preserve"> </v>
      </c>
      <c r="J111" s="45" t="str">
        <f t="shared" si="52"/>
        <v xml:space="preserve"> </v>
      </c>
      <c r="K111" s="48" t="str">
        <f t="shared" si="53"/>
        <v xml:space="preserve"> </v>
      </c>
      <c r="L111" s="45" t="str">
        <f t="shared" si="54"/>
        <v xml:space="preserve"> </v>
      </c>
      <c r="M111" s="48" t="str">
        <f t="shared" si="55"/>
        <v xml:space="preserve"> </v>
      </c>
      <c r="N111" s="24"/>
      <c r="O111" s="12">
        <f t="shared" si="56"/>
        <v>10.018999999999956</v>
      </c>
      <c r="P111" s="12">
        <f t="shared" si="57"/>
        <v>9.0171999999999599</v>
      </c>
      <c r="Q111" s="12">
        <f t="shared" si="58"/>
        <v>31.010999999999974</v>
      </c>
      <c r="R111" s="12">
        <f t="shared" si="59"/>
        <v>29.005199999999988</v>
      </c>
      <c r="S111" s="12">
        <f t="shared" si="60"/>
        <v>0</v>
      </c>
      <c r="T111" s="12">
        <f t="shared" si="61"/>
        <v>0</v>
      </c>
      <c r="U111" s="43">
        <f>IF(OR(A111=Kontenplan!$C$3,A111=Kontenplan!$C$5),F111-G111,G111-F111)</f>
        <v>0</v>
      </c>
      <c r="V111" s="171">
        <f t="shared" si="44"/>
        <v>105</v>
      </c>
      <c r="W111" s="12">
        <f t="shared" si="45"/>
        <v>78</v>
      </c>
      <c r="X111" s="12">
        <f t="shared" si="46"/>
        <v>80</v>
      </c>
      <c r="Y111" s="12">
        <f>IF(Z111=0,VLOOKUP(W111,Kontenplan!$Y$9:$AA$551,3),"")</f>
        <v>0</v>
      </c>
      <c r="Z111" s="12">
        <f t="shared" si="62"/>
        <v>0</v>
      </c>
      <c r="AA111" s="12" t="str">
        <f t="shared" ca="1" si="63"/>
        <v/>
      </c>
      <c r="AB111" s="46" t="str">
        <f t="shared" ca="1" si="64"/>
        <v/>
      </c>
      <c r="AC111" s="46" t="str">
        <f t="shared" ca="1" si="65"/>
        <v/>
      </c>
      <c r="AD111" s="47"/>
      <c r="AE111" s="12">
        <f>IF(AF111=0,VLOOKUP(X111,Kontenplan!$Z$9:$AB$551,3),"")</f>
        <v>0</v>
      </c>
      <c r="AF111" s="47">
        <f t="shared" si="66"/>
        <v>0</v>
      </c>
      <c r="AG111" s="12" t="str">
        <f t="shared" ca="1" si="67"/>
        <v/>
      </c>
      <c r="AH111" s="46" t="str">
        <f t="shared" ca="1" si="68"/>
        <v/>
      </c>
      <c r="AI111" s="46" t="str">
        <f t="shared" ca="1" si="69"/>
        <v/>
      </c>
      <c r="AJ111" s="46"/>
      <c r="AK111" s="147">
        <f t="shared" ca="1" si="70"/>
        <v>2.00950000000002</v>
      </c>
      <c r="AL111" s="147">
        <f t="shared" si="71"/>
        <v>2.0098000000000207</v>
      </c>
      <c r="AM111" s="12" t="str">
        <f>IF(V111&lt;=AO$3,VLOOKUP(V111,Kontenplan!$A$9:$D$278,4),"")</f>
        <v/>
      </c>
      <c r="AN111" s="12">
        <f t="shared" si="72"/>
        <v>0</v>
      </c>
      <c r="AO111" s="12" t="str">
        <f t="shared" ca="1" si="73"/>
        <v/>
      </c>
      <c r="AP111" s="46" t="str">
        <f t="shared" ca="1" si="74"/>
        <v/>
      </c>
      <c r="AQ111" s="46" t="str">
        <f t="shared" ca="1" si="75"/>
        <v/>
      </c>
      <c r="AR111" s="46"/>
      <c r="AS111" s="147">
        <f t="shared" ca="1" si="76"/>
        <v>3.0094000000000198</v>
      </c>
      <c r="AT111" s="147">
        <f t="shared" si="77"/>
        <v>2.0099000000000209</v>
      </c>
      <c r="AU111" s="47" t="str">
        <f>IF(V111&lt;=AW$3,VLOOKUP(AO$3+V111,Kontenplan!$A$9:$D$278,4),"")</f>
        <v/>
      </c>
      <c r="AV111" s="12">
        <f t="shared" si="78"/>
        <v>0</v>
      </c>
      <c r="AW111" s="12" t="str">
        <f t="shared" ca="1" si="79"/>
        <v/>
      </c>
      <c r="AX111" s="46" t="str">
        <f t="shared" ca="1" si="47"/>
        <v/>
      </c>
      <c r="AY111" s="46" t="str">
        <f t="shared" ca="1" si="80"/>
        <v/>
      </c>
      <c r="BA111" s="12">
        <f>Kontenplan!R113</f>
        <v>3</v>
      </c>
      <c r="BB111" s="12">
        <f>Kontenplan!S113</f>
        <v>2</v>
      </c>
      <c r="BC111" s="12">
        <f>Kontenplan!T113</f>
        <v>4</v>
      </c>
      <c r="BD111" s="170">
        <f>Kontenplan!U113</f>
        <v>4</v>
      </c>
      <c r="BF111" s="24">
        <f ca="1">SUM(AP$7:AP111)</f>
        <v>0</v>
      </c>
      <c r="BG111" s="46">
        <f ca="1">SUM(AQ$7:AQ110)</f>
        <v>0</v>
      </c>
      <c r="BH111" s="24">
        <f t="shared" ca="1" si="81"/>
        <v>0</v>
      </c>
      <c r="BI111" s="24"/>
      <c r="BJ111" s="24">
        <f ca="1">SUM(AX$7:AX111)</f>
        <v>0</v>
      </c>
      <c r="BK111" s="24">
        <f ca="1">SUM(AY$7:AY110)</f>
        <v>0</v>
      </c>
      <c r="BL111" s="24">
        <f t="shared" ca="1" si="82"/>
        <v>0</v>
      </c>
      <c r="BN111" s="24">
        <f ca="1">SUM(AB$7:AB111)</f>
        <v>0</v>
      </c>
      <c r="BO111" s="46">
        <f ca="1">SUM(AC$7:AC110)</f>
        <v>0</v>
      </c>
      <c r="BP111" s="24">
        <f t="shared" ca="1" si="83"/>
        <v>0</v>
      </c>
      <c r="BR111" s="24">
        <f ca="1">SUM(AH$7:AH111)</f>
        <v>0</v>
      </c>
      <c r="BS111" s="46">
        <f ca="1">SUM(AI$7:AI110)</f>
        <v>0</v>
      </c>
      <c r="BT111" s="24">
        <f t="shared" ca="1" si="84"/>
        <v>0</v>
      </c>
    </row>
    <row r="112" spans="1:72" s="12" customFormat="1">
      <c r="A112" s="202">
        <f>Kontenplan!C114</f>
        <v>0</v>
      </c>
      <c r="B112" s="224">
        <f>Kontenplan!E114</f>
        <v>0</v>
      </c>
      <c r="C112" s="225">
        <f>Kontenplan!F114</f>
        <v>0</v>
      </c>
      <c r="D112" s="43">
        <f>IF(B112=0,0,SUMIF(Journal!$F$7:$F$83,Calc!B112,Journal!$I$7:$I$83))</f>
        <v>0</v>
      </c>
      <c r="E112" s="15">
        <f>IF(B112=0,0,SUMIF(Journal!$G$7:$M186,Calc!B112,Journal!$I$7:$I$83))</f>
        <v>0</v>
      </c>
      <c r="F112" s="44">
        <f t="shared" si="48"/>
        <v>0</v>
      </c>
      <c r="G112" s="15">
        <f t="shared" si="49"/>
        <v>0</v>
      </c>
      <c r="H112" s="14" t="str">
        <f t="shared" si="50"/>
        <v xml:space="preserve"> </v>
      </c>
      <c r="I112" s="43" t="str">
        <f t="shared" si="51"/>
        <v xml:space="preserve"> </v>
      </c>
      <c r="J112" s="45" t="str">
        <f t="shared" si="52"/>
        <v xml:space="preserve"> </v>
      </c>
      <c r="K112" s="48" t="str">
        <f t="shared" si="53"/>
        <v xml:space="preserve"> </v>
      </c>
      <c r="L112" s="45" t="str">
        <f t="shared" si="54"/>
        <v xml:space="preserve"> </v>
      </c>
      <c r="M112" s="48" t="str">
        <f t="shared" si="55"/>
        <v xml:space="preserve"> </v>
      </c>
      <c r="N112" s="24"/>
      <c r="O112" s="12">
        <f t="shared" si="56"/>
        <v>10.019199999999955</v>
      </c>
      <c r="P112" s="12">
        <f t="shared" si="57"/>
        <v>9.0173999999999594</v>
      </c>
      <c r="Q112" s="12">
        <f t="shared" si="58"/>
        <v>31.011199999999974</v>
      </c>
      <c r="R112" s="12">
        <f t="shared" si="59"/>
        <v>29.005399999999987</v>
      </c>
      <c r="S112" s="12">
        <f t="shared" si="60"/>
        <v>0</v>
      </c>
      <c r="T112" s="12">
        <f t="shared" si="61"/>
        <v>0</v>
      </c>
      <c r="U112" s="43">
        <f>IF(OR(A112=Kontenplan!$C$3,A112=Kontenplan!$C$5),F112-G112,G112-F112)</f>
        <v>0</v>
      </c>
      <c r="V112" s="171">
        <f t="shared" si="44"/>
        <v>106</v>
      </c>
      <c r="W112" s="12">
        <f t="shared" si="45"/>
        <v>79</v>
      </c>
      <c r="X112" s="12">
        <f t="shared" si="46"/>
        <v>81</v>
      </c>
      <c r="Y112" s="12">
        <f>IF(Z112=0,VLOOKUP(W112,Kontenplan!$Y$9:$AA$551,3),"")</f>
        <v>0</v>
      </c>
      <c r="Z112" s="12">
        <f t="shared" si="62"/>
        <v>0</v>
      </c>
      <c r="AA112" s="12" t="str">
        <f t="shared" ca="1" si="63"/>
        <v/>
      </c>
      <c r="AB112" s="46" t="str">
        <f t="shared" ca="1" si="64"/>
        <v/>
      </c>
      <c r="AC112" s="46" t="str">
        <f t="shared" ca="1" si="65"/>
        <v/>
      </c>
      <c r="AD112" s="47"/>
      <c r="AE112" s="12">
        <f>IF(AF112=0,VLOOKUP(X112,Kontenplan!$Z$9:$AB$551,3),"")</f>
        <v>0</v>
      </c>
      <c r="AF112" s="47">
        <f t="shared" si="66"/>
        <v>0</v>
      </c>
      <c r="AG112" s="12" t="str">
        <f t="shared" ca="1" si="67"/>
        <v/>
      </c>
      <c r="AH112" s="46" t="str">
        <f t="shared" ca="1" si="68"/>
        <v/>
      </c>
      <c r="AI112" s="46" t="str">
        <f t="shared" ca="1" si="69"/>
        <v/>
      </c>
      <c r="AJ112" s="46"/>
      <c r="AK112" s="147">
        <f t="shared" ca="1" si="70"/>
        <v>2.0096000000000203</v>
      </c>
      <c r="AL112" s="147">
        <f t="shared" si="71"/>
        <v>2.0099000000000209</v>
      </c>
      <c r="AM112" s="12" t="str">
        <f>IF(V112&lt;=AO$3,VLOOKUP(V112,Kontenplan!$A$9:$D$278,4),"")</f>
        <v/>
      </c>
      <c r="AN112" s="12">
        <f t="shared" si="72"/>
        <v>0</v>
      </c>
      <c r="AO112" s="12" t="str">
        <f t="shared" ca="1" si="73"/>
        <v/>
      </c>
      <c r="AP112" s="46" t="str">
        <f t="shared" ca="1" si="74"/>
        <v/>
      </c>
      <c r="AQ112" s="46" t="str">
        <f t="shared" ca="1" si="75"/>
        <v/>
      </c>
      <c r="AR112" s="46"/>
      <c r="AS112" s="147">
        <f t="shared" ca="1" si="76"/>
        <v>3.00950000000002</v>
      </c>
      <c r="AT112" s="147">
        <f t="shared" si="77"/>
        <v>2.0100000000000211</v>
      </c>
      <c r="AU112" s="47" t="str">
        <f>IF(V112&lt;=AW$3,VLOOKUP(AO$3+V112,Kontenplan!$A$9:$D$278,4),"")</f>
        <v/>
      </c>
      <c r="AV112" s="12">
        <f t="shared" si="78"/>
        <v>0</v>
      </c>
      <c r="AW112" s="12" t="str">
        <f t="shared" ca="1" si="79"/>
        <v/>
      </c>
      <c r="AX112" s="46" t="str">
        <f t="shared" ca="1" si="47"/>
        <v/>
      </c>
      <c r="AY112" s="46" t="str">
        <f t="shared" ca="1" si="80"/>
        <v/>
      </c>
      <c r="BA112" s="12">
        <f>Kontenplan!R114</f>
        <v>3</v>
      </c>
      <c r="BB112" s="12">
        <f>Kontenplan!S114</f>
        <v>2</v>
      </c>
      <c r="BC112" s="12">
        <f>Kontenplan!T114</f>
        <v>4</v>
      </c>
      <c r="BD112" s="170">
        <f>Kontenplan!U114</f>
        <v>4</v>
      </c>
      <c r="BF112" s="24">
        <f ca="1">SUM(AP$7:AP112)</f>
        <v>0</v>
      </c>
      <c r="BG112" s="46">
        <f ca="1">SUM(AQ$7:AQ111)</f>
        <v>0</v>
      </c>
      <c r="BH112" s="24">
        <f t="shared" ca="1" si="81"/>
        <v>0</v>
      </c>
      <c r="BI112" s="24"/>
      <c r="BJ112" s="24">
        <f ca="1">SUM(AX$7:AX112)</f>
        <v>0</v>
      </c>
      <c r="BK112" s="24">
        <f ca="1">SUM(AY$7:AY111)</f>
        <v>0</v>
      </c>
      <c r="BL112" s="24">
        <f t="shared" ca="1" si="82"/>
        <v>0</v>
      </c>
      <c r="BN112" s="24">
        <f ca="1">SUM(AB$7:AB112)</f>
        <v>0</v>
      </c>
      <c r="BO112" s="46">
        <f ca="1">SUM(AC$7:AC111)</f>
        <v>0</v>
      </c>
      <c r="BP112" s="24">
        <f t="shared" ca="1" si="83"/>
        <v>0</v>
      </c>
      <c r="BR112" s="24">
        <f ca="1">SUM(AH$7:AH112)</f>
        <v>0</v>
      </c>
      <c r="BS112" s="46">
        <f ca="1">SUM(AI$7:AI111)</f>
        <v>0</v>
      </c>
      <c r="BT112" s="24">
        <f t="shared" ca="1" si="84"/>
        <v>0</v>
      </c>
    </row>
    <row r="113" spans="1:72" s="12" customFormat="1">
      <c r="A113" s="202">
        <f>Kontenplan!C115</f>
        <v>0</v>
      </c>
      <c r="B113" s="224">
        <f>Kontenplan!E115</f>
        <v>0</v>
      </c>
      <c r="C113" s="225">
        <f>Kontenplan!F115</f>
        <v>0</v>
      </c>
      <c r="D113" s="43">
        <f>IF(B113=0,0,SUMIF(Journal!$F$7:$F$83,Calc!B113,Journal!$I$7:$I$83))</f>
        <v>0</v>
      </c>
      <c r="E113" s="15">
        <f>IF(B113=0,0,SUMIF(Journal!$G$7:$M187,Calc!B113,Journal!$I$7:$I$83))</f>
        <v>0</v>
      </c>
      <c r="F113" s="44">
        <f t="shared" si="48"/>
        <v>0</v>
      </c>
      <c r="G113" s="15">
        <f t="shared" si="49"/>
        <v>0</v>
      </c>
      <c r="H113" s="14" t="str">
        <f t="shared" si="50"/>
        <v xml:space="preserve"> </v>
      </c>
      <c r="I113" s="43" t="str">
        <f t="shared" si="51"/>
        <v xml:space="preserve"> </v>
      </c>
      <c r="J113" s="45" t="str">
        <f t="shared" si="52"/>
        <v xml:space="preserve"> </v>
      </c>
      <c r="K113" s="48" t="str">
        <f t="shared" si="53"/>
        <v xml:space="preserve"> </v>
      </c>
      <c r="L113" s="45" t="str">
        <f t="shared" si="54"/>
        <v xml:space="preserve"> </v>
      </c>
      <c r="M113" s="48" t="str">
        <f t="shared" si="55"/>
        <v xml:space="preserve"> </v>
      </c>
      <c r="N113" s="24"/>
      <c r="O113" s="12">
        <f t="shared" si="56"/>
        <v>10.019399999999955</v>
      </c>
      <c r="P113" s="12">
        <f t="shared" si="57"/>
        <v>9.017599999999959</v>
      </c>
      <c r="Q113" s="12">
        <f t="shared" si="58"/>
        <v>31.011399999999973</v>
      </c>
      <c r="R113" s="12">
        <f t="shared" si="59"/>
        <v>29.005599999999987</v>
      </c>
      <c r="S113" s="12">
        <f t="shared" si="60"/>
        <v>0</v>
      </c>
      <c r="T113" s="12">
        <f t="shared" si="61"/>
        <v>0</v>
      </c>
      <c r="U113" s="43">
        <f>IF(OR(A113=Kontenplan!$C$3,A113=Kontenplan!$C$5),F113-G113,G113-F113)</f>
        <v>0</v>
      </c>
      <c r="V113" s="171">
        <f t="shared" si="44"/>
        <v>107</v>
      </c>
      <c r="W113" s="12">
        <f t="shared" si="45"/>
        <v>80</v>
      </c>
      <c r="X113" s="12">
        <f t="shared" si="46"/>
        <v>82</v>
      </c>
      <c r="Y113" s="12">
        <f>IF(Z113=0,VLOOKUP(W113,Kontenplan!$Y$9:$AA$551,3),"")</f>
        <v>0</v>
      </c>
      <c r="Z113" s="12">
        <f t="shared" si="62"/>
        <v>0</v>
      </c>
      <c r="AA113" s="12" t="str">
        <f t="shared" ca="1" si="63"/>
        <v/>
      </c>
      <c r="AB113" s="46" t="str">
        <f t="shared" ca="1" si="64"/>
        <v/>
      </c>
      <c r="AC113" s="46" t="str">
        <f t="shared" ca="1" si="65"/>
        <v/>
      </c>
      <c r="AD113" s="47"/>
      <c r="AE113" s="12">
        <f>IF(AF113=0,VLOOKUP(X113,Kontenplan!$Z$9:$AB$551,3),"")</f>
        <v>0</v>
      </c>
      <c r="AF113" s="47">
        <f t="shared" si="66"/>
        <v>0</v>
      </c>
      <c r="AG113" s="12" t="str">
        <f t="shared" ca="1" si="67"/>
        <v/>
      </c>
      <c r="AH113" s="46" t="str">
        <f t="shared" ca="1" si="68"/>
        <v/>
      </c>
      <c r="AI113" s="46" t="str">
        <f t="shared" ca="1" si="69"/>
        <v/>
      </c>
      <c r="AJ113" s="46"/>
      <c r="AK113" s="147">
        <f t="shared" ca="1" si="70"/>
        <v>2.0097000000000205</v>
      </c>
      <c r="AL113" s="147">
        <f t="shared" si="71"/>
        <v>2.0100000000000211</v>
      </c>
      <c r="AM113" s="12" t="str">
        <f>IF(V113&lt;=AO$3,VLOOKUP(V113,Kontenplan!$A$9:$D$278,4),"")</f>
        <v/>
      </c>
      <c r="AN113" s="12">
        <f t="shared" si="72"/>
        <v>0</v>
      </c>
      <c r="AO113" s="12" t="str">
        <f t="shared" ca="1" si="73"/>
        <v/>
      </c>
      <c r="AP113" s="46" t="str">
        <f t="shared" ca="1" si="74"/>
        <v/>
      </c>
      <c r="AQ113" s="46" t="str">
        <f t="shared" ca="1" si="75"/>
        <v/>
      </c>
      <c r="AR113" s="46"/>
      <c r="AS113" s="147">
        <f t="shared" ca="1" si="76"/>
        <v>3.0096000000000203</v>
      </c>
      <c r="AT113" s="147">
        <f t="shared" si="77"/>
        <v>2.0101000000000213</v>
      </c>
      <c r="AU113" s="47" t="str">
        <f>IF(V113&lt;=AW$3,VLOOKUP(AO$3+V113,Kontenplan!$A$9:$D$278,4),"")</f>
        <v/>
      </c>
      <c r="AV113" s="12">
        <f t="shared" si="78"/>
        <v>0</v>
      </c>
      <c r="AW113" s="12" t="str">
        <f t="shared" ca="1" si="79"/>
        <v/>
      </c>
      <c r="AX113" s="46" t="str">
        <f t="shared" ca="1" si="47"/>
        <v/>
      </c>
      <c r="AY113" s="46" t="str">
        <f t="shared" ca="1" si="80"/>
        <v/>
      </c>
      <c r="BA113" s="12">
        <f>Kontenplan!R115</f>
        <v>3</v>
      </c>
      <c r="BB113" s="12">
        <f>Kontenplan!S115</f>
        <v>2</v>
      </c>
      <c r="BC113" s="12">
        <f>Kontenplan!T115</f>
        <v>4</v>
      </c>
      <c r="BD113" s="170">
        <f>Kontenplan!U115</f>
        <v>4</v>
      </c>
      <c r="BF113" s="24">
        <f ca="1">SUM(AP$7:AP113)</f>
        <v>0</v>
      </c>
      <c r="BG113" s="46">
        <f ca="1">SUM(AQ$7:AQ112)</f>
        <v>0</v>
      </c>
      <c r="BH113" s="24">
        <f t="shared" ca="1" si="81"/>
        <v>0</v>
      </c>
      <c r="BI113" s="24"/>
      <c r="BJ113" s="24">
        <f ca="1">SUM(AX$7:AX113)</f>
        <v>0</v>
      </c>
      <c r="BK113" s="24">
        <f ca="1">SUM(AY$7:AY112)</f>
        <v>0</v>
      </c>
      <c r="BL113" s="24">
        <f t="shared" ca="1" si="82"/>
        <v>0</v>
      </c>
      <c r="BN113" s="24">
        <f ca="1">SUM(AB$7:AB113)</f>
        <v>0</v>
      </c>
      <c r="BO113" s="46">
        <f ca="1">SUM(AC$7:AC112)</f>
        <v>0</v>
      </c>
      <c r="BP113" s="24">
        <f t="shared" ca="1" si="83"/>
        <v>0</v>
      </c>
      <c r="BR113" s="24">
        <f ca="1">SUM(AH$7:AH113)</f>
        <v>0</v>
      </c>
      <c r="BS113" s="46">
        <f ca="1">SUM(AI$7:AI112)</f>
        <v>0</v>
      </c>
      <c r="BT113" s="24">
        <f t="shared" ca="1" si="84"/>
        <v>0</v>
      </c>
    </row>
    <row r="114" spans="1:72" s="12" customFormat="1">
      <c r="A114" s="202">
        <f>Kontenplan!C116</f>
        <v>0</v>
      </c>
      <c r="B114" s="224">
        <f>Kontenplan!E116</f>
        <v>0</v>
      </c>
      <c r="C114" s="225">
        <f>Kontenplan!F116</f>
        <v>0</v>
      </c>
      <c r="D114" s="43">
        <f>IF(B114=0,0,SUMIF(Journal!$F$7:$F$83,Calc!B114,Journal!$I$7:$I$83))</f>
        <v>0</v>
      </c>
      <c r="E114" s="15">
        <f>IF(B114=0,0,SUMIF(Journal!$G$7:$M188,Calc!B114,Journal!$I$7:$I$83))</f>
        <v>0</v>
      </c>
      <c r="F114" s="44">
        <f t="shared" si="48"/>
        <v>0</v>
      </c>
      <c r="G114" s="15">
        <f t="shared" si="49"/>
        <v>0</v>
      </c>
      <c r="H114" s="14" t="str">
        <f t="shared" si="50"/>
        <v xml:space="preserve"> </v>
      </c>
      <c r="I114" s="43" t="str">
        <f t="shared" si="51"/>
        <v xml:space="preserve"> </v>
      </c>
      <c r="J114" s="45" t="str">
        <f t="shared" si="52"/>
        <v xml:space="preserve"> </v>
      </c>
      <c r="K114" s="48" t="str">
        <f t="shared" si="53"/>
        <v xml:space="preserve"> </v>
      </c>
      <c r="L114" s="45" t="str">
        <f t="shared" si="54"/>
        <v xml:space="preserve"> </v>
      </c>
      <c r="M114" s="48" t="str">
        <f t="shared" si="55"/>
        <v xml:space="preserve"> </v>
      </c>
      <c r="N114" s="24"/>
      <c r="O114" s="12">
        <f t="shared" si="56"/>
        <v>10.019599999999954</v>
      </c>
      <c r="P114" s="12">
        <f t="shared" si="57"/>
        <v>9.0177999999999585</v>
      </c>
      <c r="Q114" s="12">
        <f t="shared" si="58"/>
        <v>31.011599999999973</v>
      </c>
      <c r="R114" s="12">
        <f t="shared" si="59"/>
        <v>29.005799999999986</v>
      </c>
      <c r="S114" s="12">
        <f t="shared" si="60"/>
        <v>0</v>
      </c>
      <c r="T114" s="12">
        <f t="shared" si="61"/>
        <v>0</v>
      </c>
      <c r="U114" s="43">
        <f>IF(OR(A114=Kontenplan!$C$3,A114=Kontenplan!$C$5),F114-G114,G114-F114)</f>
        <v>0</v>
      </c>
      <c r="V114" s="171">
        <f t="shared" si="44"/>
        <v>108</v>
      </c>
      <c r="W114" s="12">
        <f t="shared" si="45"/>
        <v>81</v>
      </c>
      <c r="X114" s="12">
        <f t="shared" si="46"/>
        <v>83</v>
      </c>
      <c r="Y114" s="12">
        <f>IF(Z114=0,VLOOKUP(W114,Kontenplan!$Y$9:$AA$551,3),"")</f>
        <v>0</v>
      </c>
      <c r="Z114" s="12">
        <f t="shared" si="62"/>
        <v>0</v>
      </c>
      <c r="AA114" s="12" t="str">
        <f t="shared" ca="1" si="63"/>
        <v/>
      </c>
      <c r="AB114" s="46" t="str">
        <f t="shared" ca="1" si="64"/>
        <v/>
      </c>
      <c r="AC114" s="46" t="str">
        <f t="shared" ca="1" si="65"/>
        <v/>
      </c>
      <c r="AD114" s="47"/>
      <c r="AE114" s="12">
        <f>IF(AF114=0,VLOOKUP(X114,Kontenplan!$Z$9:$AB$551,3),"")</f>
        <v>0</v>
      </c>
      <c r="AF114" s="47">
        <f t="shared" si="66"/>
        <v>0</v>
      </c>
      <c r="AG114" s="12" t="str">
        <f t="shared" ca="1" si="67"/>
        <v/>
      </c>
      <c r="AH114" s="46" t="str">
        <f t="shared" ca="1" si="68"/>
        <v/>
      </c>
      <c r="AI114" s="46" t="str">
        <f t="shared" ca="1" si="69"/>
        <v/>
      </c>
      <c r="AJ114" s="46"/>
      <c r="AK114" s="147">
        <f t="shared" ca="1" si="70"/>
        <v>2.0098000000000207</v>
      </c>
      <c r="AL114" s="147">
        <f t="shared" si="71"/>
        <v>2.0101000000000213</v>
      </c>
      <c r="AM114" s="12" t="str">
        <f>IF(V114&lt;=AO$3,VLOOKUP(V114,Kontenplan!$A$9:$D$278,4),"")</f>
        <v/>
      </c>
      <c r="AN114" s="12">
        <f t="shared" si="72"/>
        <v>0</v>
      </c>
      <c r="AO114" s="12" t="str">
        <f t="shared" ca="1" si="73"/>
        <v/>
      </c>
      <c r="AP114" s="46" t="str">
        <f t="shared" ca="1" si="74"/>
        <v/>
      </c>
      <c r="AQ114" s="46" t="str">
        <f t="shared" ca="1" si="75"/>
        <v/>
      </c>
      <c r="AR114" s="46"/>
      <c r="AS114" s="147">
        <f t="shared" ca="1" si="76"/>
        <v>3.0097000000000205</v>
      </c>
      <c r="AT114" s="147">
        <f t="shared" si="77"/>
        <v>2.0102000000000215</v>
      </c>
      <c r="AU114" s="47" t="str">
        <f>IF(V114&lt;=AW$3,VLOOKUP(AO$3+V114,Kontenplan!$A$9:$D$278,4),"")</f>
        <v/>
      </c>
      <c r="AV114" s="12">
        <f t="shared" si="78"/>
        <v>0</v>
      </c>
      <c r="AW114" s="12" t="str">
        <f t="shared" ca="1" si="79"/>
        <v/>
      </c>
      <c r="AX114" s="46" t="str">
        <f t="shared" ca="1" si="47"/>
        <v/>
      </c>
      <c r="AY114" s="46" t="str">
        <f t="shared" ca="1" si="80"/>
        <v/>
      </c>
      <c r="BA114" s="12">
        <f>Kontenplan!R116</f>
        <v>3</v>
      </c>
      <c r="BB114" s="12">
        <f>Kontenplan!S116</f>
        <v>2</v>
      </c>
      <c r="BC114" s="12">
        <f>Kontenplan!T116</f>
        <v>4</v>
      </c>
      <c r="BD114" s="170">
        <f>Kontenplan!U116</f>
        <v>4</v>
      </c>
      <c r="BF114" s="24">
        <f ca="1">SUM(AP$7:AP114)</f>
        <v>0</v>
      </c>
      <c r="BG114" s="46">
        <f ca="1">SUM(AQ$7:AQ113)</f>
        <v>0</v>
      </c>
      <c r="BH114" s="24">
        <f t="shared" ca="1" si="81"/>
        <v>0</v>
      </c>
      <c r="BI114" s="24"/>
      <c r="BJ114" s="24">
        <f ca="1">SUM(AX$7:AX114)</f>
        <v>0</v>
      </c>
      <c r="BK114" s="24">
        <f ca="1">SUM(AY$7:AY113)</f>
        <v>0</v>
      </c>
      <c r="BL114" s="24">
        <f t="shared" ca="1" si="82"/>
        <v>0</v>
      </c>
      <c r="BN114" s="24">
        <f ca="1">SUM(AB$7:AB114)</f>
        <v>0</v>
      </c>
      <c r="BO114" s="46">
        <f ca="1">SUM(AC$7:AC113)</f>
        <v>0</v>
      </c>
      <c r="BP114" s="24">
        <f t="shared" ca="1" si="83"/>
        <v>0</v>
      </c>
      <c r="BR114" s="24">
        <f ca="1">SUM(AH$7:AH114)</f>
        <v>0</v>
      </c>
      <c r="BS114" s="46">
        <f ca="1">SUM(AI$7:AI113)</f>
        <v>0</v>
      </c>
      <c r="BT114" s="24">
        <f t="shared" ca="1" si="84"/>
        <v>0</v>
      </c>
    </row>
    <row r="115" spans="1:72" s="12" customFormat="1">
      <c r="A115" s="202">
        <f>Kontenplan!C117</f>
        <v>0</v>
      </c>
      <c r="B115" s="224">
        <f>Kontenplan!E117</f>
        <v>0</v>
      </c>
      <c r="C115" s="225">
        <f>Kontenplan!F117</f>
        <v>0</v>
      </c>
      <c r="D115" s="43">
        <f>IF(B115=0,0,SUMIF(Journal!$F$7:$F$83,Calc!B115,Journal!$I$7:$I$83))</f>
        <v>0</v>
      </c>
      <c r="E115" s="15">
        <f>IF(B115=0,0,SUMIF(Journal!$G$7:$M189,Calc!B115,Journal!$I$7:$I$83))</f>
        <v>0</v>
      </c>
      <c r="F115" s="44">
        <f t="shared" si="48"/>
        <v>0</v>
      </c>
      <c r="G115" s="15">
        <f t="shared" si="49"/>
        <v>0</v>
      </c>
      <c r="H115" s="14" t="str">
        <f t="shared" si="50"/>
        <v xml:space="preserve"> </v>
      </c>
      <c r="I115" s="43" t="str">
        <f t="shared" si="51"/>
        <v xml:space="preserve"> </v>
      </c>
      <c r="J115" s="45" t="str">
        <f t="shared" si="52"/>
        <v xml:space="preserve"> </v>
      </c>
      <c r="K115" s="48" t="str">
        <f t="shared" si="53"/>
        <v xml:space="preserve"> </v>
      </c>
      <c r="L115" s="45" t="str">
        <f t="shared" si="54"/>
        <v xml:space="preserve"> </v>
      </c>
      <c r="M115" s="48" t="str">
        <f t="shared" si="55"/>
        <v xml:space="preserve"> </v>
      </c>
      <c r="N115" s="24"/>
      <c r="O115" s="12">
        <f t="shared" si="56"/>
        <v>10.019799999999954</v>
      </c>
      <c r="P115" s="12">
        <f t="shared" si="57"/>
        <v>9.017999999999958</v>
      </c>
      <c r="Q115" s="12">
        <f t="shared" si="58"/>
        <v>31.011799999999972</v>
      </c>
      <c r="R115" s="12">
        <f t="shared" si="59"/>
        <v>29.005999999999986</v>
      </c>
      <c r="S115" s="12">
        <f t="shared" si="60"/>
        <v>0</v>
      </c>
      <c r="T115" s="12">
        <f t="shared" si="61"/>
        <v>0</v>
      </c>
      <c r="U115" s="43">
        <f>IF(OR(A115=Kontenplan!$C$3,A115=Kontenplan!$C$5),F115-G115,G115-F115)</f>
        <v>0</v>
      </c>
      <c r="V115" s="171">
        <f t="shared" si="44"/>
        <v>109</v>
      </c>
      <c r="W115" s="12">
        <f t="shared" si="45"/>
        <v>82</v>
      </c>
      <c r="X115" s="12">
        <f t="shared" si="46"/>
        <v>84</v>
      </c>
      <c r="Y115" s="12">
        <f>IF(Z115=0,VLOOKUP(W115,Kontenplan!$Y$9:$AA$551,3),"")</f>
        <v>0</v>
      </c>
      <c r="Z115" s="12">
        <f t="shared" si="62"/>
        <v>0</v>
      </c>
      <c r="AA115" s="12" t="str">
        <f t="shared" ca="1" si="63"/>
        <v/>
      </c>
      <c r="AB115" s="46" t="str">
        <f t="shared" ca="1" si="64"/>
        <v/>
      </c>
      <c r="AC115" s="46" t="str">
        <f t="shared" ca="1" si="65"/>
        <v/>
      </c>
      <c r="AD115" s="47"/>
      <c r="AE115" s="12">
        <f>IF(AF115=0,VLOOKUP(X115,Kontenplan!$Z$9:$AB$551,3),"")</f>
        <v>0</v>
      </c>
      <c r="AF115" s="47">
        <f t="shared" si="66"/>
        <v>0</v>
      </c>
      <c r="AG115" s="12" t="str">
        <f t="shared" ca="1" si="67"/>
        <v/>
      </c>
      <c r="AH115" s="46" t="str">
        <f t="shared" ca="1" si="68"/>
        <v/>
      </c>
      <c r="AI115" s="46" t="str">
        <f t="shared" ca="1" si="69"/>
        <v/>
      </c>
      <c r="AJ115" s="46"/>
      <c r="AK115" s="147">
        <f t="shared" ca="1" si="70"/>
        <v>2.0099000000000209</v>
      </c>
      <c r="AL115" s="147">
        <f t="shared" si="71"/>
        <v>2.0102000000000215</v>
      </c>
      <c r="AM115" s="12" t="str">
        <f>IF(V115&lt;=AO$3,VLOOKUP(V115,Kontenplan!$A$9:$D$278,4),"")</f>
        <v/>
      </c>
      <c r="AN115" s="12">
        <f t="shared" si="72"/>
        <v>0</v>
      </c>
      <c r="AO115" s="12" t="str">
        <f t="shared" ca="1" si="73"/>
        <v/>
      </c>
      <c r="AP115" s="46" t="str">
        <f t="shared" ca="1" si="74"/>
        <v/>
      </c>
      <c r="AQ115" s="46" t="str">
        <f t="shared" ca="1" si="75"/>
        <v/>
      </c>
      <c r="AR115" s="46"/>
      <c r="AS115" s="147">
        <f t="shared" ca="1" si="76"/>
        <v>3.0098000000000207</v>
      </c>
      <c r="AT115" s="147">
        <f t="shared" si="77"/>
        <v>2.0103000000000217</v>
      </c>
      <c r="AU115" s="47" t="str">
        <f>IF(V115&lt;=AW$3,VLOOKUP(AO$3+V115,Kontenplan!$A$9:$D$278,4),"")</f>
        <v/>
      </c>
      <c r="AV115" s="12">
        <f t="shared" si="78"/>
        <v>0</v>
      </c>
      <c r="AW115" s="12" t="str">
        <f t="shared" ca="1" si="79"/>
        <v/>
      </c>
      <c r="AX115" s="46" t="str">
        <f t="shared" ca="1" si="47"/>
        <v/>
      </c>
      <c r="AY115" s="46" t="str">
        <f t="shared" ca="1" si="80"/>
        <v/>
      </c>
      <c r="BA115" s="12">
        <f>Kontenplan!R117</f>
        <v>3</v>
      </c>
      <c r="BB115" s="12">
        <f>Kontenplan!S117</f>
        <v>2</v>
      </c>
      <c r="BC115" s="12">
        <f>Kontenplan!T117</f>
        <v>4</v>
      </c>
      <c r="BD115" s="170">
        <f>Kontenplan!U117</f>
        <v>4</v>
      </c>
      <c r="BF115" s="24">
        <f ca="1">SUM(AP$7:AP115)</f>
        <v>0</v>
      </c>
      <c r="BG115" s="46">
        <f ca="1">SUM(AQ$7:AQ114)</f>
        <v>0</v>
      </c>
      <c r="BH115" s="24">
        <f t="shared" ca="1" si="81"/>
        <v>0</v>
      </c>
      <c r="BI115" s="24"/>
      <c r="BJ115" s="24">
        <f ca="1">SUM(AX$7:AX115)</f>
        <v>0</v>
      </c>
      <c r="BK115" s="24">
        <f ca="1">SUM(AY$7:AY114)</f>
        <v>0</v>
      </c>
      <c r="BL115" s="24">
        <f t="shared" ca="1" si="82"/>
        <v>0</v>
      </c>
      <c r="BN115" s="24">
        <f ca="1">SUM(AB$7:AB115)</f>
        <v>0</v>
      </c>
      <c r="BO115" s="46">
        <f ca="1">SUM(AC$7:AC114)</f>
        <v>0</v>
      </c>
      <c r="BP115" s="24">
        <f t="shared" ca="1" si="83"/>
        <v>0</v>
      </c>
      <c r="BR115" s="24">
        <f ca="1">SUM(AH$7:AH115)</f>
        <v>0</v>
      </c>
      <c r="BS115" s="46">
        <f ca="1">SUM(AI$7:AI114)</f>
        <v>0</v>
      </c>
      <c r="BT115" s="24">
        <f t="shared" ca="1" si="84"/>
        <v>0</v>
      </c>
    </row>
    <row r="116" spans="1:72" s="12" customFormat="1">
      <c r="A116" s="202">
        <f>Kontenplan!C118</f>
        <v>0</v>
      </c>
      <c r="B116" s="224">
        <f>Kontenplan!E118</f>
        <v>0</v>
      </c>
      <c r="C116" s="225">
        <f>Kontenplan!F118</f>
        <v>0</v>
      </c>
      <c r="D116" s="43">
        <f>IF(B116=0,0,SUMIF(Journal!$F$7:$F$83,Calc!B116,Journal!$I$7:$I$83))</f>
        <v>0</v>
      </c>
      <c r="E116" s="15">
        <f>IF(B116=0,0,SUMIF(Journal!$G$7:$M190,Calc!B116,Journal!$I$7:$I$83))</f>
        <v>0</v>
      </c>
      <c r="F116" s="44">
        <f t="shared" si="48"/>
        <v>0</v>
      </c>
      <c r="G116" s="15">
        <f t="shared" si="49"/>
        <v>0</v>
      </c>
      <c r="H116" s="14" t="str">
        <f t="shared" si="50"/>
        <v xml:space="preserve"> </v>
      </c>
      <c r="I116" s="43" t="str">
        <f t="shared" si="51"/>
        <v xml:space="preserve"> </v>
      </c>
      <c r="J116" s="45" t="str">
        <f t="shared" si="52"/>
        <v xml:space="preserve"> </v>
      </c>
      <c r="K116" s="48" t="str">
        <f t="shared" si="53"/>
        <v xml:space="preserve"> </v>
      </c>
      <c r="L116" s="45" t="str">
        <f t="shared" si="54"/>
        <v xml:space="preserve"> </v>
      </c>
      <c r="M116" s="48" t="str">
        <f t="shared" si="55"/>
        <v xml:space="preserve"> </v>
      </c>
      <c r="N116" s="24"/>
      <c r="O116" s="12">
        <f t="shared" si="56"/>
        <v>10.019999999999953</v>
      </c>
      <c r="P116" s="12">
        <f t="shared" si="57"/>
        <v>9.0181999999999576</v>
      </c>
      <c r="Q116" s="12">
        <f t="shared" si="58"/>
        <v>31.011999999999972</v>
      </c>
      <c r="R116" s="12">
        <f t="shared" si="59"/>
        <v>29.006199999999986</v>
      </c>
      <c r="S116" s="12">
        <f t="shared" si="60"/>
        <v>0</v>
      </c>
      <c r="T116" s="12">
        <f t="shared" si="61"/>
        <v>0</v>
      </c>
      <c r="U116" s="43">
        <f>IF(OR(A116=Kontenplan!$C$3,A116=Kontenplan!$C$5),F116-G116,G116-F116)</f>
        <v>0</v>
      </c>
      <c r="V116" s="171">
        <f t="shared" si="44"/>
        <v>110</v>
      </c>
      <c r="W116" s="12">
        <f t="shared" si="45"/>
        <v>83</v>
      </c>
      <c r="X116" s="12">
        <f t="shared" si="46"/>
        <v>85</v>
      </c>
      <c r="Y116" s="12">
        <f>IF(Z116=0,VLOOKUP(W116,Kontenplan!$Y$9:$AA$551,3),"")</f>
        <v>0</v>
      </c>
      <c r="Z116" s="12">
        <f t="shared" si="62"/>
        <v>0</v>
      </c>
      <c r="AA116" s="12" t="str">
        <f t="shared" ca="1" si="63"/>
        <v/>
      </c>
      <c r="AB116" s="46" t="str">
        <f t="shared" ca="1" si="64"/>
        <v/>
      </c>
      <c r="AC116" s="46" t="str">
        <f t="shared" ca="1" si="65"/>
        <v/>
      </c>
      <c r="AD116" s="47"/>
      <c r="AE116" s="12">
        <f>IF(AF116=0,VLOOKUP(X116,Kontenplan!$Z$9:$AB$551,3),"")</f>
        <v>0</v>
      </c>
      <c r="AF116" s="47">
        <f t="shared" si="66"/>
        <v>0</v>
      </c>
      <c r="AG116" s="12" t="str">
        <f t="shared" ca="1" si="67"/>
        <v/>
      </c>
      <c r="AH116" s="46" t="str">
        <f t="shared" ca="1" si="68"/>
        <v/>
      </c>
      <c r="AI116" s="46" t="str">
        <f t="shared" ca="1" si="69"/>
        <v/>
      </c>
      <c r="AJ116" s="46"/>
      <c r="AK116" s="147">
        <f t="shared" ca="1" si="70"/>
        <v>2.0100000000000211</v>
      </c>
      <c r="AL116" s="147">
        <f t="shared" si="71"/>
        <v>2.0103000000000217</v>
      </c>
      <c r="AM116" s="12" t="str">
        <f>IF(V116&lt;=AO$3,VLOOKUP(V116,Kontenplan!$A$9:$D$278,4),"")</f>
        <v/>
      </c>
      <c r="AN116" s="12">
        <f t="shared" si="72"/>
        <v>0</v>
      </c>
      <c r="AO116" s="12" t="str">
        <f t="shared" ca="1" si="73"/>
        <v/>
      </c>
      <c r="AP116" s="46" t="str">
        <f t="shared" ca="1" si="74"/>
        <v/>
      </c>
      <c r="AQ116" s="46" t="str">
        <f t="shared" ca="1" si="75"/>
        <v/>
      </c>
      <c r="AR116" s="46"/>
      <c r="AS116" s="147">
        <f t="shared" ca="1" si="76"/>
        <v>3.0099000000000209</v>
      </c>
      <c r="AT116" s="147">
        <f t="shared" si="77"/>
        <v>2.0104000000000219</v>
      </c>
      <c r="AU116" s="47" t="str">
        <f>IF(V116&lt;=AW$3,VLOOKUP(AO$3+V116,Kontenplan!$A$9:$D$278,4),"")</f>
        <v/>
      </c>
      <c r="AV116" s="12">
        <f t="shared" si="78"/>
        <v>0</v>
      </c>
      <c r="AW116" s="12" t="str">
        <f t="shared" ca="1" si="79"/>
        <v/>
      </c>
      <c r="AX116" s="46" t="str">
        <f t="shared" ca="1" si="47"/>
        <v/>
      </c>
      <c r="AY116" s="46" t="str">
        <f t="shared" ca="1" si="80"/>
        <v/>
      </c>
      <c r="BA116" s="12">
        <f>Kontenplan!R118</f>
        <v>3</v>
      </c>
      <c r="BB116" s="12">
        <f>Kontenplan!S118</f>
        <v>2</v>
      </c>
      <c r="BC116" s="12">
        <f>Kontenplan!T118</f>
        <v>4</v>
      </c>
      <c r="BD116" s="170">
        <f>Kontenplan!U118</f>
        <v>4</v>
      </c>
      <c r="BF116" s="24">
        <f ca="1">SUM(AP$7:AP116)</f>
        <v>0</v>
      </c>
      <c r="BG116" s="46">
        <f ca="1">SUM(AQ$7:AQ115)</f>
        <v>0</v>
      </c>
      <c r="BH116" s="24">
        <f t="shared" ca="1" si="81"/>
        <v>0</v>
      </c>
      <c r="BI116" s="24"/>
      <c r="BJ116" s="24">
        <f ca="1">SUM(AX$7:AX116)</f>
        <v>0</v>
      </c>
      <c r="BK116" s="24">
        <f ca="1">SUM(AY$7:AY115)</f>
        <v>0</v>
      </c>
      <c r="BL116" s="24">
        <f t="shared" ca="1" si="82"/>
        <v>0</v>
      </c>
      <c r="BN116" s="24">
        <f ca="1">SUM(AB$7:AB116)</f>
        <v>0</v>
      </c>
      <c r="BO116" s="46">
        <f ca="1">SUM(AC$7:AC115)</f>
        <v>0</v>
      </c>
      <c r="BP116" s="24">
        <f t="shared" ca="1" si="83"/>
        <v>0</v>
      </c>
      <c r="BR116" s="24">
        <f ca="1">SUM(AH$7:AH116)</f>
        <v>0</v>
      </c>
      <c r="BS116" s="46">
        <f ca="1">SUM(AI$7:AI115)</f>
        <v>0</v>
      </c>
      <c r="BT116" s="24">
        <f t="shared" ca="1" si="84"/>
        <v>0</v>
      </c>
    </row>
    <row r="117" spans="1:72" s="12" customFormat="1">
      <c r="A117" s="202">
        <f>Kontenplan!C119</f>
        <v>0</v>
      </c>
      <c r="B117" s="224">
        <f>Kontenplan!E119</f>
        <v>0</v>
      </c>
      <c r="C117" s="225">
        <f>Kontenplan!F119</f>
        <v>0</v>
      </c>
      <c r="D117" s="43">
        <f>IF(B117=0,0,SUMIF(Journal!$F$7:$F$83,Calc!B117,Journal!$I$7:$I$83))</f>
        <v>0</v>
      </c>
      <c r="E117" s="15">
        <f>IF(B117=0,0,SUMIF(Journal!$G$7:$M191,Calc!B117,Journal!$I$7:$I$83))</f>
        <v>0</v>
      </c>
      <c r="F117" s="44">
        <f t="shared" si="48"/>
        <v>0</v>
      </c>
      <c r="G117" s="15">
        <f t="shared" si="49"/>
        <v>0</v>
      </c>
      <c r="H117" s="14" t="str">
        <f t="shared" si="50"/>
        <v xml:space="preserve"> </v>
      </c>
      <c r="I117" s="43" t="str">
        <f t="shared" si="51"/>
        <v xml:space="preserve"> </v>
      </c>
      <c r="J117" s="45" t="str">
        <f t="shared" si="52"/>
        <v xml:space="preserve"> </v>
      </c>
      <c r="K117" s="48" t="str">
        <f t="shared" si="53"/>
        <v xml:space="preserve"> </v>
      </c>
      <c r="L117" s="45" t="str">
        <f t="shared" si="54"/>
        <v xml:space="preserve"> </v>
      </c>
      <c r="M117" s="48" t="str">
        <f t="shared" si="55"/>
        <v xml:space="preserve"> </v>
      </c>
      <c r="N117" s="24"/>
      <c r="O117" s="12">
        <f t="shared" si="56"/>
        <v>10.020199999999953</v>
      </c>
      <c r="P117" s="12">
        <f t="shared" si="57"/>
        <v>9.0183999999999571</v>
      </c>
      <c r="Q117" s="12">
        <f t="shared" si="58"/>
        <v>31.012199999999972</v>
      </c>
      <c r="R117" s="12">
        <f t="shared" si="59"/>
        <v>29.006399999999985</v>
      </c>
      <c r="S117" s="12">
        <f t="shared" si="60"/>
        <v>0</v>
      </c>
      <c r="T117" s="12">
        <f t="shared" si="61"/>
        <v>0</v>
      </c>
      <c r="U117" s="43">
        <f>IF(OR(A117=Kontenplan!$C$3,A117=Kontenplan!$C$5),F117-G117,G117-F117)</f>
        <v>0</v>
      </c>
      <c r="V117" s="171">
        <f t="shared" si="44"/>
        <v>111</v>
      </c>
      <c r="W117" s="12">
        <f t="shared" si="45"/>
        <v>84</v>
      </c>
      <c r="X117" s="12">
        <f t="shared" si="46"/>
        <v>86</v>
      </c>
      <c r="Y117" s="12">
        <f>IF(Z117=0,VLOOKUP(W117,Kontenplan!$Y$9:$AA$551,3),"")</f>
        <v>0</v>
      </c>
      <c r="Z117" s="12">
        <f t="shared" si="62"/>
        <v>0</v>
      </c>
      <c r="AA117" s="12" t="str">
        <f t="shared" ca="1" si="63"/>
        <v/>
      </c>
      <c r="AB117" s="46" t="str">
        <f t="shared" ca="1" si="64"/>
        <v/>
      </c>
      <c r="AC117" s="46" t="str">
        <f t="shared" ca="1" si="65"/>
        <v/>
      </c>
      <c r="AD117" s="47"/>
      <c r="AE117" s="12">
        <f>IF(AF117=0,VLOOKUP(X117,Kontenplan!$Z$9:$AB$551,3),"")</f>
        <v>0</v>
      </c>
      <c r="AF117" s="47">
        <f t="shared" si="66"/>
        <v>0</v>
      </c>
      <c r="AG117" s="12" t="str">
        <f t="shared" ca="1" si="67"/>
        <v/>
      </c>
      <c r="AH117" s="46" t="str">
        <f t="shared" ca="1" si="68"/>
        <v/>
      </c>
      <c r="AI117" s="46" t="str">
        <f t="shared" ca="1" si="69"/>
        <v/>
      </c>
      <c r="AJ117" s="46"/>
      <c r="AK117" s="147">
        <f t="shared" ca="1" si="70"/>
        <v>2.0101000000000213</v>
      </c>
      <c r="AL117" s="147">
        <f t="shared" si="71"/>
        <v>2.0104000000000219</v>
      </c>
      <c r="AM117" s="12" t="str">
        <f>IF(V117&lt;=AO$3,VLOOKUP(V117,Kontenplan!$A$9:$D$278,4),"")</f>
        <v/>
      </c>
      <c r="AN117" s="12">
        <f t="shared" si="72"/>
        <v>0</v>
      </c>
      <c r="AO117" s="12" t="str">
        <f t="shared" ca="1" si="73"/>
        <v/>
      </c>
      <c r="AP117" s="46" t="str">
        <f t="shared" ca="1" si="74"/>
        <v/>
      </c>
      <c r="AQ117" s="46" t="str">
        <f t="shared" ca="1" si="75"/>
        <v/>
      </c>
      <c r="AR117" s="46"/>
      <c r="AS117" s="147">
        <f t="shared" ca="1" si="76"/>
        <v>3.0100000000000211</v>
      </c>
      <c r="AT117" s="147">
        <f t="shared" si="77"/>
        <v>2.0105000000000222</v>
      </c>
      <c r="AU117" s="47" t="str">
        <f>IF(V117&lt;=AW$3,VLOOKUP(AO$3+V117,Kontenplan!$A$9:$D$278,4),"")</f>
        <v/>
      </c>
      <c r="AV117" s="12">
        <f t="shared" si="78"/>
        <v>0</v>
      </c>
      <c r="AW117" s="12" t="str">
        <f t="shared" ca="1" si="79"/>
        <v/>
      </c>
      <c r="AX117" s="46" t="str">
        <f t="shared" ca="1" si="47"/>
        <v/>
      </c>
      <c r="AY117" s="46" t="str">
        <f t="shared" ca="1" si="80"/>
        <v/>
      </c>
      <c r="BA117" s="12">
        <f>Kontenplan!R119</f>
        <v>3</v>
      </c>
      <c r="BB117" s="12">
        <f>Kontenplan!S119</f>
        <v>2</v>
      </c>
      <c r="BC117" s="12">
        <f>Kontenplan!T119</f>
        <v>4</v>
      </c>
      <c r="BD117" s="170">
        <f>Kontenplan!U119</f>
        <v>4</v>
      </c>
      <c r="BF117" s="24">
        <f ca="1">SUM(AP$7:AP117)</f>
        <v>0</v>
      </c>
      <c r="BG117" s="46">
        <f ca="1">SUM(AQ$7:AQ116)</f>
        <v>0</v>
      </c>
      <c r="BH117" s="24">
        <f t="shared" ca="1" si="81"/>
        <v>0</v>
      </c>
      <c r="BI117" s="24"/>
      <c r="BJ117" s="24">
        <f ca="1">SUM(AX$7:AX117)</f>
        <v>0</v>
      </c>
      <c r="BK117" s="24">
        <f ca="1">SUM(AY$7:AY116)</f>
        <v>0</v>
      </c>
      <c r="BL117" s="24">
        <f t="shared" ca="1" si="82"/>
        <v>0</v>
      </c>
      <c r="BN117" s="24">
        <f ca="1">SUM(AB$7:AB117)</f>
        <v>0</v>
      </c>
      <c r="BO117" s="46">
        <f ca="1">SUM(AC$7:AC116)</f>
        <v>0</v>
      </c>
      <c r="BP117" s="24">
        <f t="shared" ca="1" si="83"/>
        <v>0</v>
      </c>
      <c r="BR117" s="24">
        <f ca="1">SUM(AH$7:AH117)</f>
        <v>0</v>
      </c>
      <c r="BS117" s="46">
        <f ca="1">SUM(AI$7:AI116)</f>
        <v>0</v>
      </c>
      <c r="BT117" s="24">
        <f t="shared" ca="1" si="84"/>
        <v>0</v>
      </c>
    </row>
    <row r="118" spans="1:72" s="12" customFormat="1">
      <c r="A118" s="202">
        <f>Kontenplan!C120</f>
        <v>0</v>
      </c>
      <c r="B118" s="224">
        <f>Kontenplan!E120</f>
        <v>0</v>
      </c>
      <c r="C118" s="225">
        <f>Kontenplan!F120</f>
        <v>0</v>
      </c>
      <c r="D118" s="43">
        <f>IF(B118=0,0,SUMIF(Journal!$F$7:$F$83,Calc!B118,Journal!$I$7:$I$83))</f>
        <v>0</v>
      </c>
      <c r="E118" s="15">
        <f>IF(B118=0,0,SUMIF(Journal!$G$7:$M192,Calc!B118,Journal!$I$7:$I$83))</f>
        <v>0</v>
      </c>
      <c r="F118" s="44">
        <f t="shared" si="48"/>
        <v>0</v>
      </c>
      <c r="G118" s="15">
        <f t="shared" si="49"/>
        <v>0</v>
      </c>
      <c r="H118" s="14" t="str">
        <f t="shared" si="50"/>
        <v xml:space="preserve"> </v>
      </c>
      <c r="I118" s="43" t="str">
        <f t="shared" si="51"/>
        <v xml:space="preserve"> </v>
      </c>
      <c r="J118" s="45" t="str">
        <f t="shared" si="52"/>
        <v xml:space="preserve"> </v>
      </c>
      <c r="K118" s="48" t="str">
        <f t="shared" si="53"/>
        <v xml:space="preserve"> </v>
      </c>
      <c r="L118" s="45" t="str">
        <f t="shared" si="54"/>
        <v xml:space="preserve"> </v>
      </c>
      <c r="M118" s="48" t="str">
        <f t="shared" si="55"/>
        <v xml:space="preserve"> </v>
      </c>
      <c r="N118" s="24"/>
      <c r="O118" s="12">
        <f t="shared" si="56"/>
        <v>10.020399999999952</v>
      </c>
      <c r="P118" s="12">
        <f t="shared" si="57"/>
        <v>9.0185999999999567</v>
      </c>
      <c r="Q118" s="12">
        <f t="shared" si="58"/>
        <v>31.012399999999971</v>
      </c>
      <c r="R118" s="12">
        <f t="shared" si="59"/>
        <v>29.006599999999985</v>
      </c>
      <c r="S118" s="12">
        <f t="shared" si="60"/>
        <v>0</v>
      </c>
      <c r="T118" s="12">
        <f t="shared" si="61"/>
        <v>0</v>
      </c>
      <c r="U118" s="43">
        <f>IF(OR(A118=Kontenplan!$C$3,A118=Kontenplan!$C$5),F118-G118,G118-F118)</f>
        <v>0</v>
      </c>
      <c r="V118" s="171">
        <f t="shared" si="44"/>
        <v>112</v>
      </c>
      <c r="W118" s="12">
        <f t="shared" si="45"/>
        <v>85</v>
      </c>
      <c r="X118" s="12">
        <f t="shared" si="46"/>
        <v>87</v>
      </c>
      <c r="Y118" s="12">
        <f>IF(Z118=0,VLOOKUP(W118,Kontenplan!$Y$9:$AA$551,3),"")</f>
        <v>0</v>
      </c>
      <c r="Z118" s="12">
        <f t="shared" si="62"/>
        <v>0</v>
      </c>
      <c r="AA118" s="12" t="str">
        <f t="shared" ca="1" si="63"/>
        <v/>
      </c>
      <c r="AB118" s="46" t="str">
        <f t="shared" ca="1" si="64"/>
        <v/>
      </c>
      <c r="AC118" s="46" t="str">
        <f t="shared" ca="1" si="65"/>
        <v/>
      </c>
      <c r="AD118" s="47"/>
      <c r="AE118" s="12">
        <f>IF(AF118=0,VLOOKUP(X118,Kontenplan!$Z$9:$AB$551,3),"")</f>
        <v>0</v>
      </c>
      <c r="AF118" s="47">
        <f t="shared" si="66"/>
        <v>0</v>
      </c>
      <c r="AG118" s="12" t="str">
        <f t="shared" ca="1" si="67"/>
        <v/>
      </c>
      <c r="AH118" s="46" t="str">
        <f t="shared" ca="1" si="68"/>
        <v/>
      </c>
      <c r="AI118" s="46" t="str">
        <f t="shared" ca="1" si="69"/>
        <v/>
      </c>
      <c r="AJ118" s="46"/>
      <c r="AK118" s="147">
        <f t="shared" ca="1" si="70"/>
        <v>2.0102000000000215</v>
      </c>
      <c r="AL118" s="147">
        <f t="shared" si="71"/>
        <v>2.0105000000000222</v>
      </c>
      <c r="AM118" s="12" t="str">
        <f>IF(V118&lt;=AO$3,VLOOKUP(V118,Kontenplan!$A$9:$D$278,4),"")</f>
        <v/>
      </c>
      <c r="AN118" s="12">
        <f t="shared" si="72"/>
        <v>0</v>
      </c>
      <c r="AO118" s="12" t="str">
        <f t="shared" ca="1" si="73"/>
        <v/>
      </c>
      <c r="AP118" s="46" t="str">
        <f t="shared" ca="1" si="74"/>
        <v/>
      </c>
      <c r="AQ118" s="46" t="str">
        <f t="shared" ca="1" si="75"/>
        <v/>
      </c>
      <c r="AR118" s="46"/>
      <c r="AS118" s="147">
        <f t="shared" ca="1" si="76"/>
        <v>3.0101000000000213</v>
      </c>
      <c r="AT118" s="147">
        <f t="shared" si="77"/>
        <v>2.0106000000000224</v>
      </c>
      <c r="AU118" s="47" t="str">
        <f>IF(V118&lt;=AW$3,VLOOKUP(AO$3+V118,Kontenplan!$A$9:$D$278,4),"")</f>
        <v/>
      </c>
      <c r="AV118" s="12">
        <f t="shared" si="78"/>
        <v>0</v>
      </c>
      <c r="AW118" s="12" t="str">
        <f t="shared" ca="1" si="79"/>
        <v/>
      </c>
      <c r="AX118" s="46" t="str">
        <f t="shared" ca="1" si="47"/>
        <v/>
      </c>
      <c r="AY118" s="46" t="str">
        <f t="shared" ca="1" si="80"/>
        <v/>
      </c>
      <c r="BA118" s="12">
        <f>Kontenplan!R120</f>
        <v>3</v>
      </c>
      <c r="BB118" s="12">
        <f>Kontenplan!S120</f>
        <v>2</v>
      </c>
      <c r="BC118" s="12">
        <f>Kontenplan!T120</f>
        <v>4</v>
      </c>
      <c r="BD118" s="170">
        <f>Kontenplan!U120</f>
        <v>4</v>
      </c>
      <c r="BF118" s="24">
        <f ca="1">SUM(AP$7:AP118)</f>
        <v>0</v>
      </c>
      <c r="BG118" s="46">
        <f ca="1">SUM(AQ$7:AQ117)</f>
        <v>0</v>
      </c>
      <c r="BH118" s="24">
        <f t="shared" ca="1" si="81"/>
        <v>0</v>
      </c>
      <c r="BI118" s="24"/>
      <c r="BJ118" s="24">
        <f ca="1">SUM(AX$7:AX118)</f>
        <v>0</v>
      </c>
      <c r="BK118" s="24">
        <f ca="1">SUM(AY$7:AY117)</f>
        <v>0</v>
      </c>
      <c r="BL118" s="24">
        <f t="shared" ca="1" si="82"/>
        <v>0</v>
      </c>
      <c r="BN118" s="24">
        <f ca="1">SUM(AB$7:AB118)</f>
        <v>0</v>
      </c>
      <c r="BO118" s="46">
        <f ca="1">SUM(AC$7:AC117)</f>
        <v>0</v>
      </c>
      <c r="BP118" s="24">
        <f t="shared" ca="1" si="83"/>
        <v>0</v>
      </c>
      <c r="BR118" s="24">
        <f ca="1">SUM(AH$7:AH118)</f>
        <v>0</v>
      </c>
      <c r="BS118" s="46">
        <f ca="1">SUM(AI$7:AI117)</f>
        <v>0</v>
      </c>
      <c r="BT118" s="24">
        <f t="shared" ca="1" si="84"/>
        <v>0</v>
      </c>
    </row>
    <row r="119" spans="1:72" s="12" customFormat="1">
      <c r="A119" s="202">
        <f>Kontenplan!C121</f>
        <v>0</v>
      </c>
      <c r="B119" s="224">
        <f>Kontenplan!E121</f>
        <v>0</v>
      </c>
      <c r="C119" s="225">
        <f>Kontenplan!F121</f>
        <v>0</v>
      </c>
      <c r="D119" s="43">
        <f>IF(B119=0,0,SUMIF(Journal!$F$7:$F$83,Calc!B119,Journal!$I$7:$I$83))</f>
        <v>0</v>
      </c>
      <c r="E119" s="15">
        <f>IF(B119=0,0,SUMIF(Journal!$G$7:$M193,Calc!B119,Journal!$I$7:$I$83))</f>
        <v>0</v>
      </c>
      <c r="F119" s="44">
        <f t="shared" si="48"/>
        <v>0</v>
      </c>
      <c r="G119" s="15">
        <f t="shared" si="49"/>
        <v>0</v>
      </c>
      <c r="H119" s="14" t="str">
        <f t="shared" si="50"/>
        <v xml:space="preserve"> </v>
      </c>
      <c r="I119" s="43" t="str">
        <f t="shared" si="51"/>
        <v xml:space="preserve"> </v>
      </c>
      <c r="J119" s="45" t="str">
        <f t="shared" si="52"/>
        <v xml:space="preserve"> </v>
      </c>
      <c r="K119" s="48" t="str">
        <f t="shared" si="53"/>
        <v xml:space="preserve"> </v>
      </c>
      <c r="L119" s="45" t="str">
        <f t="shared" si="54"/>
        <v xml:space="preserve"> </v>
      </c>
      <c r="M119" s="48" t="str">
        <f t="shared" si="55"/>
        <v xml:space="preserve"> </v>
      </c>
      <c r="N119" s="24"/>
      <c r="O119" s="12">
        <f t="shared" si="56"/>
        <v>10.020599999999952</v>
      </c>
      <c r="P119" s="12">
        <f t="shared" si="57"/>
        <v>9.0187999999999562</v>
      </c>
      <c r="Q119" s="12">
        <f t="shared" si="58"/>
        <v>31.012599999999971</v>
      </c>
      <c r="R119" s="12">
        <f t="shared" si="59"/>
        <v>29.006799999999984</v>
      </c>
      <c r="S119" s="12">
        <f t="shared" si="60"/>
        <v>0</v>
      </c>
      <c r="T119" s="12">
        <f t="shared" si="61"/>
        <v>0</v>
      </c>
      <c r="U119" s="43">
        <f>IF(OR(A119=Kontenplan!$C$3,A119=Kontenplan!$C$5),F119-G119,G119-F119)</f>
        <v>0</v>
      </c>
      <c r="V119" s="171">
        <f t="shared" si="44"/>
        <v>113</v>
      </c>
      <c r="W119" s="12">
        <f t="shared" si="45"/>
        <v>86</v>
      </c>
      <c r="X119" s="12">
        <f t="shared" si="46"/>
        <v>88</v>
      </c>
      <c r="Y119" s="12">
        <f>IF(Z119=0,VLOOKUP(W119,Kontenplan!$Y$9:$AA$551,3),"")</f>
        <v>0</v>
      </c>
      <c r="Z119" s="12">
        <f t="shared" si="62"/>
        <v>0</v>
      </c>
      <c r="AA119" s="12" t="str">
        <f t="shared" ca="1" si="63"/>
        <v/>
      </c>
      <c r="AB119" s="46" t="str">
        <f t="shared" ca="1" si="64"/>
        <v/>
      </c>
      <c r="AC119" s="46" t="str">
        <f t="shared" ca="1" si="65"/>
        <v/>
      </c>
      <c r="AD119" s="47"/>
      <c r="AE119" s="12">
        <f>IF(AF119=0,VLOOKUP(X119,Kontenplan!$Z$9:$AB$551,3),"")</f>
        <v>0</v>
      </c>
      <c r="AF119" s="47">
        <f t="shared" si="66"/>
        <v>0</v>
      </c>
      <c r="AG119" s="12" t="str">
        <f t="shared" ca="1" si="67"/>
        <v/>
      </c>
      <c r="AH119" s="46" t="str">
        <f t="shared" ca="1" si="68"/>
        <v/>
      </c>
      <c r="AI119" s="46" t="str">
        <f t="shared" ca="1" si="69"/>
        <v/>
      </c>
      <c r="AJ119" s="46"/>
      <c r="AK119" s="147">
        <f t="shared" ca="1" si="70"/>
        <v>2.0103000000000217</v>
      </c>
      <c r="AL119" s="147">
        <f t="shared" si="71"/>
        <v>2.0106000000000224</v>
      </c>
      <c r="AM119" s="12" t="str">
        <f>IF(V119&lt;=AO$3,VLOOKUP(V119,Kontenplan!$A$9:$D$278,4),"")</f>
        <v/>
      </c>
      <c r="AN119" s="12">
        <f t="shared" si="72"/>
        <v>0</v>
      </c>
      <c r="AO119" s="12" t="str">
        <f t="shared" ca="1" si="73"/>
        <v/>
      </c>
      <c r="AP119" s="46" t="str">
        <f t="shared" ca="1" si="74"/>
        <v/>
      </c>
      <c r="AQ119" s="46" t="str">
        <f t="shared" ca="1" si="75"/>
        <v/>
      </c>
      <c r="AR119" s="46"/>
      <c r="AS119" s="147">
        <f t="shared" ca="1" si="76"/>
        <v>3.0102000000000215</v>
      </c>
      <c r="AT119" s="147">
        <f t="shared" si="77"/>
        <v>2.0107000000000226</v>
      </c>
      <c r="AU119" s="47" t="str">
        <f>IF(V119&lt;=AW$3,VLOOKUP(AO$3+V119,Kontenplan!$A$9:$D$278,4),"")</f>
        <v/>
      </c>
      <c r="AV119" s="12">
        <f t="shared" si="78"/>
        <v>0</v>
      </c>
      <c r="AW119" s="12" t="str">
        <f t="shared" ca="1" si="79"/>
        <v/>
      </c>
      <c r="AX119" s="46" t="str">
        <f t="shared" ca="1" si="47"/>
        <v/>
      </c>
      <c r="AY119" s="46" t="str">
        <f t="shared" ca="1" si="80"/>
        <v/>
      </c>
      <c r="BA119" s="12">
        <f>Kontenplan!R121</f>
        <v>3</v>
      </c>
      <c r="BB119" s="12">
        <f>Kontenplan!S121</f>
        <v>2</v>
      </c>
      <c r="BC119" s="12">
        <f>Kontenplan!T121</f>
        <v>4</v>
      </c>
      <c r="BD119" s="170">
        <f>Kontenplan!U121</f>
        <v>4</v>
      </c>
      <c r="BF119" s="24">
        <f ca="1">SUM(AP$7:AP119)</f>
        <v>0</v>
      </c>
      <c r="BG119" s="46">
        <f ca="1">SUM(AQ$7:AQ118)</f>
        <v>0</v>
      </c>
      <c r="BH119" s="24">
        <f t="shared" ca="1" si="81"/>
        <v>0</v>
      </c>
      <c r="BI119" s="24"/>
      <c r="BJ119" s="24">
        <f ca="1">SUM(AX$7:AX119)</f>
        <v>0</v>
      </c>
      <c r="BK119" s="24">
        <f ca="1">SUM(AY$7:AY118)</f>
        <v>0</v>
      </c>
      <c r="BL119" s="24">
        <f t="shared" ca="1" si="82"/>
        <v>0</v>
      </c>
      <c r="BN119" s="24">
        <f ca="1">SUM(AB$7:AB119)</f>
        <v>0</v>
      </c>
      <c r="BO119" s="46">
        <f ca="1">SUM(AC$7:AC118)</f>
        <v>0</v>
      </c>
      <c r="BP119" s="24">
        <f t="shared" ca="1" si="83"/>
        <v>0</v>
      </c>
      <c r="BR119" s="24">
        <f ca="1">SUM(AH$7:AH119)</f>
        <v>0</v>
      </c>
      <c r="BS119" s="46">
        <f ca="1">SUM(AI$7:AI118)</f>
        <v>0</v>
      </c>
      <c r="BT119" s="24">
        <f t="shared" ca="1" si="84"/>
        <v>0</v>
      </c>
    </row>
    <row r="120" spans="1:72" s="12" customFormat="1">
      <c r="A120" s="202">
        <f>Kontenplan!C122</f>
        <v>0</v>
      </c>
      <c r="B120" s="224">
        <f>Kontenplan!E122</f>
        <v>0</v>
      </c>
      <c r="C120" s="225">
        <f>Kontenplan!F122</f>
        <v>0</v>
      </c>
      <c r="D120" s="43">
        <f>IF(B120=0,0,SUMIF(Journal!$F$7:$F$83,Calc!B120,Journal!$I$7:$I$83))</f>
        <v>0</v>
      </c>
      <c r="E120" s="15">
        <f>IF(B120=0,0,SUMIF(Journal!$G$7:$M194,Calc!B120,Journal!$I$7:$I$83))</f>
        <v>0</v>
      </c>
      <c r="F120" s="44">
        <f t="shared" si="48"/>
        <v>0</v>
      </c>
      <c r="G120" s="15">
        <f t="shared" si="49"/>
        <v>0</v>
      </c>
      <c r="H120" s="14" t="str">
        <f t="shared" si="50"/>
        <v xml:space="preserve"> </v>
      </c>
      <c r="I120" s="43" t="str">
        <f t="shared" si="51"/>
        <v xml:space="preserve"> </v>
      </c>
      <c r="J120" s="45" t="str">
        <f t="shared" si="52"/>
        <v xml:space="preserve"> </v>
      </c>
      <c r="K120" s="48" t="str">
        <f t="shared" si="53"/>
        <v xml:space="preserve"> </v>
      </c>
      <c r="L120" s="45" t="str">
        <f t="shared" si="54"/>
        <v xml:space="preserve"> </v>
      </c>
      <c r="M120" s="48" t="str">
        <f t="shared" si="55"/>
        <v xml:space="preserve"> </v>
      </c>
      <c r="N120" s="24"/>
      <c r="O120" s="12">
        <f t="shared" si="56"/>
        <v>10.020799999999952</v>
      </c>
      <c r="P120" s="12">
        <f t="shared" si="57"/>
        <v>9.0189999999999557</v>
      </c>
      <c r="Q120" s="12">
        <f t="shared" si="58"/>
        <v>31.01279999999997</v>
      </c>
      <c r="R120" s="12">
        <f t="shared" si="59"/>
        <v>29.006999999999984</v>
      </c>
      <c r="S120" s="12">
        <f t="shared" si="60"/>
        <v>0</v>
      </c>
      <c r="T120" s="12">
        <f t="shared" si="61"/>
        <v>0</v>
      </c>
      <c r="U120" s="43">
        <f>IF(OR(A120=Kontenplan!$C$3,A120=Kontenplan!$C$5),F120-G120,G120-F120)</f>
        <v>0</v>
      </c>
      <c r="V120" s="171">
        <f t="shared" si="44"/>
        <v>114</v>
      </c>
      <c r="W120" s="12">
        <f t="shared" si="45"/>
        <v>87</v>
      </c>
      <c r="X120" s="12">
        <f t="shared" si="46"/>
        <v>89</v>
      </c>
      <c r="Y120" s="12">
        <f>IF(Z120=0,VLOOKUP(W120,Kontenplan!$Y$9:$AA$551,3),"")</f>
        <v>0</v>
      </c>
      <c r="Z120" s="12">
        <f t="shared" si="62"/>
        <v>0</v>
      </c>
      <c r="AA120" s="12" t="str">
        <f t="shared" ca="1" si="63"/>
        <v/>
      </c>
      <c r="AB120" s="46" t="str">
        <f t="shared" ca="1" si="64"/>
        <v/>
      </c>
      <c r="AC120" s="46" t="str">
        <f t="shared" ca="1" si="65"/>
        <v/>
      </c>
      <c r="AD120" s="47"/>
      <c r="AE120" s="12">
        <f>IF(AF120=0,VLOOKUP(X120,Kontenplan!$Z$9:$AB$551,3),"")</f>
        <v>0</v>
      </c>
      <c r="AF120" s="47">
        <f t="shared" si="66"/>
        <v>0</v>
      </c>
      <c r="AG120" s="12" t="str">
        <f t="shared" ca="1" si="67"/>
        <v/>
      </c>
      <c r="AH120" s="46" t="str">
        <f t="shared" ca="1" si="68"/>
        <v/>
      </c>
      <c r="AI120" s="46" t="str">
        <f t="shared" ca="1" si="69"/>
        <v/>
      </c>
      <c r="AJ120" s="46"/>
      <c r="AK120" s="147">
        <f t="shared" ca="1" si="70"/>
        <v>2.0104000000000219</v>
      </c>
      <c r="AL120" s="147">
        <f t="shared" si="71"/>
        <v>2.0107000000000226</v>
      </c>
      <c r="AM120" s="12" t="str">
        <f>IF(V120&lt;=AO$3,VLOOKUP(V120,Kontenplan!$A$9:$D$278,4),"")</f>
        <v/>
      </c>
      <c r="AN120" s="12">
        <f t="shared" si="72"/>
        <v>0</v>
      </c>
      <c r="AO120" s="12" t="str">
        <f t="shared" ca="1" si="73"/>
        <v/>
      </c>
      <c r="AP120" s="46" t="str">
        <f t="shared" ca="1" si="74"/>
        <v/>
      </c>
      <c r="AQ120" s="46" t="str">
        <f t="shared" ca="1" si="75"/>
        <v/>
      </c>
      <c r="AR120" s="46"/>
      <c r="AS120" s="147">
        <f t="shared" ca="1" si="76"/>
        <v>3.0103000000000217</v>
      </c>
      <c r="AT120" s="147">
        <f t="shared" si="77"/>
        <v>2.0108000000000228</v>
      </c>
      <c r="AU120" s="47" t="str">
        <f>IF(V120&lt;=AW$3,VLOOKUP(AO$3+V120,Kontenplan!$A$9:$D$278,4),"")</f>
        <v/>
      </c>
      <c r="AV120" s="12">
        <f t="shared" si="78"/>
        <v>0</v>
      </c>
      <c r="AW120" s="12" t="str">
        <f t="shared" ca="1" si="79"/>
        <v/>
      </c>
      <c r="AX120" s="46" t="str">
        <f t="shared" ca="1" si="47"/>
        <v/>
      </c>
      <c r="AY120" s="46" t="str">
        <f t="shared" ca="1" si="80"/>
        <v/>
      </c>
      <c r="BA120" s="12">
        <f>Kontenplan!R122</f>
        <v>3</v>
      </c>
      <c r="BB120" s="12">
        <f>Kontenplan!S122</f>
        <v>2</v>
      </c>
      <c r="BC120" s="12">
        <f>Kontenplan!T122</f>
        <v>4</v>
      </c>
      <c r="BD120" s="170">
        <f>Kontenplan!U122</f>
        <v>4</v>
      </c>
      <c r="BF120" s="24">
        <f ca="1">SUM(AP$7:AP120)</f>
        <v>0</v>
      </c>
      <c r="BG120" s="46">
        <f ca="1">SUM(AQ$7:AQ119)</f>
        <v>0</v>
      </c>
      <c r="BH120" s="24">
        <f t="shared" ca="1" si="81"/>
        <v>0</v>
      </c>
      <c r="BI120" s="24"/>
      <c r="BJ120" s="24">
        <f ca="1">SUM(AX$7:AX120)</f>
        <v>0</v>
      </c>
      <c r="BK120" s="24">
        <f ca="1">SUM(AY$7:AY119)</f>
        <v>0</v>
      </c>
      <c r="BL120" s="24">
        <f t="shared" ca="1" si="82"/>
        <v>0</v>
      </c>
      <c r="BN120" s="24">
        <f ca="1">SUM(AB$7:AB120)</f>
        <v>0</v>
      </c>
      <c r="BO120" s="46">
        <f ca="1">SUM(AC$7:AC119)</f>
        <v>0</v>
      </c>
      <c r="BP120" s="24">
        <f t="shared" ca="1" si="83"/>
        <v>0</v>
      </c>
      <c r="BR120" s="24">
        <f ca="1">SUM(AH$7:AH120)</f>
        <v>0</v>
      </c>
      <c r="BS120" s="46">
        <f ca="1">SUM(AI$7:AI119)</f>
        <v>0</v>
      </c>
      <c r="BT120" s="24">
        <f t="shared" ca="1" si="84"/>
        <v>0</v>
      </c>
    </row>
    <row r="121" spans="1:72" s="12" customFormat="1">
      <c r="A121" s="202">
        <f>Kontenplan!C123</f>
        <v>0</v>
      </c>
      <c r="B121" s="224">
        <f>Kontenplan!E123</f>
        <v>0</v>
      </c>
      <c r="C121" s="225">
        <f>Kontenplan!F123</f>
        <v>0</v>
      </c>
      <c r="D121" s="43">
        <f>IF(B121=0,0,SUMIF(Journal!$F$7:$F$83,Calc!B121,Journal!$I$7:$I$83))</f>
        <v>0</v>
      </c>
      <c r="E121" s="15">
        <f>IF(B121=0,0,SUMIF(Journal!$G$7:$M195,Calc!B121,Journal!$I$7:$I$83))</f>
        <v>0</v>
      </c>
      <c r="F121" s="44">
        <f t="shared" si="48"/>
        <v>0</v>
      </c>
      <c r="G121" s="15">
        <f t="shared" si="49"/>
        <v>0</v>
      </c>
      <c r="H121" s="14" t="str">
        <f t="shared" si="50"/>
        <v xml:space="preserve"> </v>
      </c>
      <c r="I121" s="43" t="str">
        <f t="shared" si="51"/>
        <v xml:space="preserve"> </v>
      </c>
      <c r="J121" s="45" t="str">
        <f t="shared" si="52"/>
        <v xml:space="preserve"> </v>
      </c>
      <c r="K121" s="48" t="str">
        <f t="shared" si="53"/>
        <v xml:space="preserve"> </v>
      </c>
      <c r="L121" s="45" t="str">
        <f t="shared" si="54"/>
        <v xml:space="preserve"> </v>
      </c>
      <c r="M121" s="48" t="str">
        <f t="shared" si="55"/>
        <v xml:space="preserve"> </v>
      </c>
      <c r="N121" s="24"/>
      <c r="O121" s="12">
        <f t="shared" si="56"/>
        <v>10.020999999999951</v>
      </c>
      <c r="P121" s="12">
        <f t="shared" si="57"/>
        <v>9.0191999999999553</v>
      </c>
      <c r="Q121" s="12">
        <f t="shared" si="58"/>
        <v>31.01299999999997</v>
      </c>
      <c r="R121" s="12">
        <f t="shared" si="59"/>
        <v>29.007199999999983</v>
      </c>
      <c r="S121" s="12">
        <f t="shared" si="60"/>
        <v>0</v>
      </c>
      <c r="T121" s="12">
        <f t="shared" si="61"/>
        <v>0</v>
      </c>
      <c r="U121" s="43">
        <f>IF(OR(A121=Kontenplan!$C$3,A121=Kontenplan!$C$5),F121-G121,G121-F121)</f>
        <v>0</v>
      </c>
      <c r="V121" s="171">
        <f t="shared" si="44"/>
        <v>115</v>
      </c>
      <c r="W121" s="12">
        <f t="shared" si="45"/>
        <v>88</v>
      </c>
      <c r="X121" s="12">
        <f t="shared" si="46"/>
        <v>90</v>
      </c>
      <c r="Y121" s="12">
        <f>IF(Z121=0,VLOOKUP(W121,Kontenplan!$Y$9:$AA$551,3),"")</f>
        <v>0</v>
      </c>
      <c r="Z121" s="12">
        <f t="shared" si="62"/>
        <v>0</v>
      </c>
      <c r="AA121" s="12" t="str">
        <f t="shared" ca="1" si="63"/>
        <v/>
      </c>
      <c r="AB121" s="46" t="str">
        <f t="shared" ca="1" si="64"/>
        <v/>
      </c>
      <c r="AC121" s="46" t="str">
        <f t="shared" ca="1" si="65"/>
        <v/>
      </c>
      <c r="AD121" s="47"/>
      <c r="AE121" s="12">
        <f>IF(AF121=0,VLOOKUP(X121,Kontenplan!$Z$9:$AB$551,3),"")</f>
        <v>0</v>
      </c>
      <c r="AF121" s="47">
        <f t="shared" si="66"/>
        <v>0</v>
      </c>
      <c r="AG121" s="12" t="str">
        <f t="shared" ca="1" si="67"/>
        <v/>
      </c>
      <c r="AH121" s="46" t="str">
        <f t="shared" ca="1" si="68"/>
        <v/>
      </c>
      <c r="AI121" s="46" t="str">
        <f t="shared" ca="1" si="69"/>
        <v/>
      </c>
      <c r="AJ121" s="46"/>
      <c r="AK121" s="147">
        <f t="shared" ca="1" si="70"/>
        <v>2.0105000000000222</v>
      </c>
      <c r="AL121" s="147">
        <f t="shared" si="71"/>
        <v>2.0108000000000228</v>
      </c>
      <c r="AM121" s="12" t="str">
        <f>IF(V121&lt;=AO$3,VLOOKUP(V121,Kontenplan!$A$9:$D$278,4),"")</f>
        <v/>
      </c>
      <c r="AN121" s="12">
        <f t="shared" si="72"/>
        <v>0</v>
      </c>
      <c r="AO121" s="12" t="str">
        <f t="shared" ca="1" si="73"/>
        <v/>
      </c>
      <c r="AP121" s="46" t="str">
        <f t="shared" ca="1" si="74"/>
        <v/>
      </c>
      <c r="AQ121" s="46" t="str">
        <f t="shared" ca="1" si="75"/>
        <v/>
      </c>
      <c r="AR121" s="46"/>
      <c r="AS121" s="147">
        <f t="shared" ca="1" si="76"/>
        <v>3.0104000000000219</v>
      </c>
      <c r="AT121" s="147">
        <f t="shared" si="77"/>
        <v>2.010900000000023</v>
      </c>
      <c r="AU121" s="47" t="str">
        <f>IF(V121&lt;=AW$3,VLOOKUP(AO$3+V121,Kontenplan!$A$9:$D$278,4),"")</f>
        <v/>
      </c>
      <c r="AV121" s="12">
        <f t="shared" si="78"/>
        <v>0</v>
      </c>
      <c r="AW121" s="12" t="str">
        <f t="shared" ca="1" si="79"/>
        <v/>
      </c>
      <c r="AX121" s="46" t="str">
        <f t="shared" ca="1" si="47"/>
        <v/>
      </c>
      <c r="AY121" s="46" t="str">
        <f t="shared" ca="1" si="80"/>
        <v/>
      </c>
      <c r="BA121" s="12">
        <f>Kontenplan!R123</f>
        <v>3</v>
      </c>
      <c r="BB121" s="12">
        <f>Kontenplan!S123</f>
        <v>2</v>
      </c>
      <c r="BC121" s="12">
        <f>Kontenplan!T123</f>
        <v>4</v>
      </c>
      <c r="BD121" s="170">
        <f>Kontenplan!U123</f>
        <v>4</v>
      </c>
      <c r="BF121" s="24">
        <f ca="1">SUM(AP$7:AP121)</f>
        <v>0</v>
      </c>
      <c r="BG121" s="46">
        <f ca="1">SUM(AQ$7:AQ120)</f>
        <v>0</v>
      </c>
      <c r="BH121" s="24">
        <f t="shared" ca="1" si="81"/>
        <v>0</v>
      </c>
      <c r="BI121" s="24"/>
      <c r="BJ121" s="24">
        <f ca="1">SUM(AX$7:AX121)</f>
        <v>0</v>
      </c>
      <c r="BK121" s="24">
        <f ca="1">SUM(AY$7:AY120)</f>
        <v>0</v>
      </c>
      <c r="BL121" s="24">
        <f t="shared" ca="1" si="82"/>
        <v>0</v>
      </c>
      <c r="BN121" s="24">
        <f ca="1">SUM(AB$7:AB121)</f>
        <v>0</v>
      </c>
      <c r="BO121" s="46">
        <f ca="1">SUM(AC$7:AC120)</f>
        <v>0</v>
      </c>
      <c r="BP121" s="24">
        <f t="shared" ca="1" si="83"/>
        <v>0</v>
      </c>
      <c r="BR121" s="24">
        <f ca="1">SUM(AH$7:AH121)</f>
        <v>0</v>
      </c>
      <c r="BS121" s="46">
        <f ca="1">SUM(AI$7:AI120)</f>
        <v>0</v>
      </c>
      <c r="BT121" s="24">
        <f t="shared" ca="1" si="84"/>
        <v>0</v>
      </c>
    </row>
    <row r="122" spans="1:72" s="12" customFormat="1">
      <c r="A122" s="202">
        <f>Kontenplan!C124</f>
        <v>0</v>
      </c>
      <c r="B122" s="224">
        <f>Kontenplan!E124</f>
        <v>0</v>
      </c>
      <c r="C122" s="225">
        <f>Kontenplan!F124</f>
        <v>0</v>
      </c>
      <c r="D122" s="43">
        <f>IF(B122=0,0,SUMIF(Journal!$F$7:$F$83,Calc!B122,Journal!$I$7:$I$83))</f>
        <v>0</v>
      </c>
      <c r="E122" s="15">
        <f>IF(B122=0,0,SUMIF(Journal!$G$7:$M196,Calc!B122,Journal!$I$7:$I$83))</f>
        <v>0</v>
      </c>
      <c r="F122" s="44">
        <f t="shared" si="48"/>
        <v>0</v>
      </c>
      <c r="G122" s="15">
        <f t="shared" si="49"/>
        <v>0</v>
      </c>
      <c r="H122" s="14" t="str">
        <f t="shared" si="50"/>
        <v xml:space="preserve"> </v>
      </c>
      <c r="I122" s="43" t="str">
        <f t="shared" si="51"/>
        <v xml:space="preserve"> </v>
      </c>
      <c r="J122" s="45" t="str">
        <f t="shared" si="52"/>
        <v xml:space="preserve"> </v>
      </c>
      <c r="K122" s="48" t="str">
        <f t="shared" si="53"/>
        <v xml:space="preserve"> </v>
      </c>
      <c r="L122" s="45" t="str">
        <f t="shared" si="54"/>
        <v xml:space="preserve"> </v>
      </c>
      <c r="M122" s="48" t="str">
        <f t="shared" si="55"/>
        <v xml:space="preserve"> </v>
      </c>
      <c r="N122" s="24"/>
      <c r="O122" s="12">
        <f t="shared" si="56"/>
        <v>10.021199999999951</v>
      </c>
      <c r="P122" s="12">
        <f t="shared" si="57"/>
        <v>9.0193999999999548</v>
      </c>
      <c r="Q122" s="12">
        <f t="shared" si="58"/>
        <v>31.013199999999969</v>
      </c>
      <c r="R122" s="12">
        <f t="shared" si="59"/>
        <v>29.007399999999983</v>
      </c>
      <c r="S122" s="12">
        <f t="shared" si="60"/>
        <v>0</v>
      </c>
      <c r="T122" s="12">
        <f t="shared" si="61"/>
        <v>0</v>
      </c>
      <c r="U122" s="43">
        <f>IF(OR(A122=Kontenplan!$C$3,A122=Kontenplan!$C$5),F122-G122,G122-F122)</f>
        <v>0</v>
      </c>
      <c r="V122" s="171">
        <f t="shared" si="44"/>
        <v>116</v>
      </c>
      <c r="W122" s="12">
        <f t="shared" si="45"/>
        <v>89</v>
      </c>
      <c r="X122" s="12">
        <f t="shared" si="46"/>
        <v>91</v>
      </c>
      <c r="Y122" s="12">
        <f>IF(Z122=0,VLOOKUP(W122,Kontenplan!$Y$9:$AA$551,3),"")</f>
        <v>0</v>
      </c>
      <c r="Z122" s="12">
        <f t="shared" si="62"/>
        <v>0</v>
      </c>
      <c r="AA122" s="12" t="str">
        <f t="shared" ca="1" si="63"/>
        <v/>
      </c>
      <c r="AB122" s="46" t="str">
        <f t="shared" ca="1" si="64"/>
        <v/>
      </c>
      <c r="AC122" s="46" t="str">
        <f t="shared" ca="1" si="65"/>
        <v/>
      </c>
      <c r="AD122" s="47"/>
      <c r="AE122" s="12">
        <f>IF(AF122=0,VLOOKUP(X122,Kontenplan!$Z$9:$AB$551,3),"")</f>
        <v>0</v>
      </c>
      <c r="AF122" s="47">
        <f t="shared" si="66"/>
        <v>0</v>
      </c>
      <c r="AG122" s="12" t="str">
        <f t="shared" ca="1" si="67"/>
        <v/>
      </c>
      <c r="AH122" s="46" t="str">
        <f t="shared" ca="1" si="68"/>
        <v/>
      </c>
      <c r="AI122" s="46" t="str">
        <f t="shared" ca="1" si="69"/>
        <v/>
      </c>
      <c r="AJ122" s="46"/>
      <c r="AK122" s="147">
        <f t="shared" ca="1" si="70"/>
        <v>2.0106000000000224</v>
      </c>
      <c r="AL122" s="147">
        <f t="shared" si="71"/>
        <v>2.010900000000023</v>
      </c>
      <c r="AM122" s="12" t="str">
        <f>IF(V122&lt;=AO$3,VLOOKUP(V122,Kontenplan!$A$9:$D$278,4),"")</f>
        <v/>
      </c>
      <c r="AN122" s="12">
        <f t="shared" si="72"/>
        <v>0</v>
      </c>
      <c r="AO122" s="12" t="str">
        <f t="shared" ca="1" si="73"/>
        <v/>
      </c>
      <c r="AP122" s="46" t="str">
        <f t="shared" ca="1" si="74"/>
        <v/>
      </c>
      <c r="AQ122" s="46" t="str">
        <f t="shared" ca="1" si="75"/>
        <v/>
      </c>
      <c r="AR122" s="46"/>
      <c r="AS122" s="147">
        <f t="shared" ca="1" si="76"/>
        <v>3.0105000000000222</v>
      </c>
      <c r="AT122" s="147">
        <f t="shared" si="77"/>
        <v>2.0110000000000232</v>
      </c>
      <c r="AU122" s="47" t="str">
        <f>IF(V122&lt;=AW$3,VLOOKUP(AO$3+V122,Kontenplan!$A$9:$D$278,4),"")</f>
        <v/>
      </c>
      <c r="AV122" s="12">
        <f t="shared" si="78"/>
        <v>0</v>
      </c>
      <c r="AW122" s="12" t="str">
        <f t="shared" ca="1" si="79"/>
        <v/>
      </c>
      <c r="AX122" s="46" t="str">
        <f t="shared" ca="1" si="47"/>
        <v/>
      </c>
      <c r="AY122" s="46" t="str">
        <f t="shared" ca="1" si="80"/>
        <v/>
      </c>
      <c r="BA122" s="12">
        <f>Kontenplan!R124</f>
        <v>3</v>
      </c>
      <c r="BB122" s="12">
        <f>Kontenplan!S124</f>
        <v>2</v>
      </c>
      <c r="BC122" s="12">
        <f>Kontenplan!T124</f>
        <v>4</v>
      </c>
      <c r="BD122" s="170">
        <f>Kontenplan!U124</f>
        <v>4</v>
      </c>
      <c r="BF122" s="24">
        <f ca="1">SUM(AP$7:AP122)</f>
        <v>0</v>
      </c>
      <c r="BG122" s="46">
        <f ca="1">SUM(AQ$7:AQ121)</f>
        <v>0</v>
      </c>
      <c r="BH122" s="24">
        <f t="shared" ca="1" si="81"/>
        <v>0</v>
      </c>
      <c r="BI122" s="24"/>
      <c r="BJ122" s="24">
        <f ca="1">SUM(AX$7:AX122)</f>
        <v>0</v>
      </c>
      <c r="BK122" s="24">
        <f ca="1">SUM(AY$7:AY121)</f>
        <v>0</v>
      </c>
      <c r="BL122" s="24">
        <f t="shared" ca="1" si="82"/>
        <v>0</v>
      </c>
      <c r="BN122" s="24">
        <f ca="1">SUM(AB$7:AB122)</f>
        <v>0</v>
      </c>
      <c r="BO122" s="46">
        <f ca="1">SUM(AC$7:AC121)</f>
        <v>0</v>
      </c>
      <c r="BP122" s="24">
        <f t="shared" ca="1" si="83"/>
        <v>0</v>
      </c>
      <c r="BR122" s="24">
        <f ca="1">SUM(AH$7:AH122)</f>
        <v>0</v>
      </c>
      <c r="BS122" s="46">
        <f ca="1">SUM(AI$7:AI121)</f>
        <v>0</v>
      </c>
      <c r="BT122" s="24">
        <f t="shared" ca="1" si="84"/>
        <v>0</v>
      </c>
    </row>
    <row r="123" spans="1:72" s="12" customFormat="1">
      <c r="A123" s="202">
        <f>Kontenplan!C125</f>
        <v>0</v>
      </c>
      <c r="B123" s="224">
        <f>Kontenplan!E125</f>
        <v>0</v>
      </c>
      <c r="C123" s="225">
        <f>Kontenplan!F125</f>
        <v>0</v>
      </c>
      <c r="D123" s="43">
        <f>IF(B123=0,0,SUMIF(Journal!$F$7:$F$83,Calc!B123,Journal!$I$7:$I$83))</f>
        <v>0</v>
      </c>
      <c r="E123" s="15">
        <f>IF(B123=0,0,SUMIF(Journal!$G$7:$M197,Calc!B123,Journal!$I$7:$I$83))</f>
        <v>0</v>
      </c>
      <c r="F123" s="44">
        <f t="shared" si="48"/>
        <v>0</v>
      </c>
      <c r="G123" s="15">
        <f t="shared" si="49"/>
        <v>0</v>
      </c>
      <c r="H123" s="14" t="str">
        <f t="shared" si="50"/>
        <v xml:space="preserve"> </v>
      </c>
      <c r="I123" s="43" t="str">
        <f t="shared" si="51"/>
        <v xml:space="preserve"> </v>
      </c>
      <c r="J123" s="45" t="str">
        <f t="shared" si="52"/>
        <v xml:space="preserve"> </v>
      </c>
      <c r="K123" s="48" t="str">
        <f t="shared" si="53"/>
        <v xml:space="preserve"> </v>
      </c>
      <c r="L123" s="45" t="str">
        <f t="shared" si="54"/>
        <v xml:space="preserve"> </v>
      </c>
      <c r="M123" s="48" t="str">
        <f t="shared" si="55"/>
        <v xml:space="preserve"> </v>
      </c>
      <c r="N123" s="24"/>
      <c r="O123" s="12">
        <f t="shared" si="56"/>
        <v>10.02139999999995</v>
      </c>
      <c r="P123" s="12">
        <f t="shared" si="57"/>
        <v>9.0195999999999543</v>
      </c>
      <c r="Q123" s="12">
        <f t="shared" si="58"/>
        <v>31.013399999999969</v>
      </c>
      <c r="R123" s="12">
        <f t="shared" si="59"/>
        <v>29.007599999999982</v>
      </c>
      <c r="S123" s="12">
        <f t="shared" si="60"/>
        <v>0</v>
      </c>
      <c r="T123" s="12">
        <f t="shared" si="61"/>
        <v>0</v>
      </c>
      <c r="U123" s="43">
        <f>IF(OR(A123=Kontenplan!$C$3,A123=Kontenplan!$C$5),F123-G123,G123-F123)</f>
        <v>0</v>
      </c>
      <c r="V123" s="171">
        <f t="shared" si="44"/>
        <v>117</v>
      </c>
      <c r="W123" s="12">
        <f t="shared" si="45"/>
        <v>90</v>
      </c>
      <c r="X123" s="12">
        <f t="shared" si="46"/>
        <v>92</v>
      </c>
      <c r="Y123" s="12">
        <f>IF(Z123=0,VLOOKUP(W123,Kontenplan!$Y$9:$AA$551,3),"")</f>
        <v>0</v>
      </c>
      <c r="Z123" s="12">
        <f t="shared" si="62"/>
        <v>0</v>
      </c>
      <c r="AA123" s="12" t="str">
        <f t="shared" ca="1" si="63"/>
        <v/>
      </c>
      <c r="AB123" s="46" t="str">
        <f t="shared" ca="1" si="64"/>
        <v/>
      </c>
      <c r="AC123" s="46" t="str">
        <f t="shared" ca="1" si="65"/>
        <v/>
      </c>
      <c r="AD123" s="47"/>
      <c r="AE123" s="12">
        <f>IF(AF123=0,VLOOKUP(X123,Kontenplan!$Z$9:$AB$551,3),"")</f>
        <v>0</v>
      </c>
      <c r="AF123" s="47">
        <f t="shared" si="66"/>
        <v>0</v>
      </c>
      <c r="AG123" s="12" t="str">
        <f t="shared" ca="1" si="67"/>
        <v/>
      </c>
      <c r="AH123" s="46" t="str">
        <f t="shared" ca="1" si="68"/>
        <v/>
      </c>
      <c r="AI123" s="46" t="str">
        <f t="shared" ca="1" si="69"/>
        <v/>
      </c>
      <c r="AJ123" s="46"/>
      <c r="AK123" s="147">
        <f t="shared" ca="1" si="70"/>
        <v>2.0107000000000226</v>
      </c>
      <c r="AL123" s="147">
        <f t="shared" si="71"/>
        <v>2.0110000000000232</v>
      </c>
      <c r="AM123" s="12" t="str">
        <f>IF(V123&lt;=AO$3,VLOOKUP(V123,Kontenplan!$A$9:$D$278,4),"")</f>
        <v/>
      </c>
      <c r="AN123" s="12">
        <f t="shared" si="72"/>
        <v>0</v>
      </c>
      <c r="AO123" s="12" t="str">
        <f t="shared" ca="1" si="73"/>
        <v/>
      </c>
      <c r="AP123" s="46" t="str">
        <f t="shared" ca="1" si="74"/>
        <v/>
      </c>
      <c r="AQ123" s="46" t="str">
        <f t="shared" ca="1" si="75"/>
        <v/>
      </c>
      <c r="AR123" s="46"/>
      <c r="AS123" s="147">
        <f t="shared" ca="1" si="76"/>
        <v>3.0106000000000224</v>
      </c>
      <c r="AT123" s="147">
        <f t="shared" si="77"/>
        <v>2.0111000000000234</v>
      </c>
      <c r="AU123" s="47" t="str">
        <f>IF(V123&lt;=AW$3,VLOOKUP(AO$3+V123,Kontenplan!$A$9:$D$278,4),"")</f>
        <v/>
      </c>
      <c r="AV123" s="12">
        <f t="shared" si="78"/>
        <v>0</v>
      </c>
      <c r="AW123" s="12" t="str">
        <f t="shared" ca="1" si="79"/>
        <v/>
      </c>
      <c r="AX123" s="46" t="str">
        <f t="shared" ca="1" si="47"/>
        <v/>
      </c>
      <c r="AY123" s="46" t="str">
        <f t="shared" ca="1" si="80"/>
        <v/>
      </c>
      <c r="BA123" s="12">
        <f>Kontenplan!R125</f>
        <v>3</v>
      </c>
      <c r="BB123" s="12">
        <f>Kontenplan!S125</f>
        <v>2</v>
      </c>
      <c r="BC123" s="12">
        <f>Kontenplan!T125</f>
        <v>4</v>
      </c>
      <c r="BD123" s="170">
        <f>Kontenplan!U125</f>
        <v>4</v>
      </c>
      <c r="BF123" s="24">
        <f ca="1">SUM(AP$7:AP123)</f>
        <v>0</v>
      </c>
      <c r="BG123" s="46">
        <f ca="1">SUM(AQ$7:AQ122)</f>
        <v>0</v>
      </c>
      <c r="BH123" s="24">
        <f t="shared" ca="1" si="81"/>
        <v>0</v>
      </c>
      <c r="BI123" s="24"/>
      <c r="BJ123" s="24">
        <f ca="1">SUM(AX$7:AX123)</f>
        <v>0</v>
      </c>
      <c r="BK123" s="24">
        <f ca="1">SUM(AY$7:AY122)</f>
        <v>0</v>
      </c>
      <c r="BL123" s="24">
        <f t="shared" ca="1" si="82"/>
        <v>0</v>
      </c>
      <c r="BN123" s="24">
        <f ca="1">SUM(AB$7:AB123)</f>
        <v>0</v>
      </c>
      <c r="BO123" s="46">
        <f ca="1">SUM(AC$7:AC122)</f>
        <v>0</v>
      </c>
      <c r="BP123" s="24">
        <f t="shared" ca="1" si="83"/>
        <v>0</v>
      </c>
      <c r="BR123" s="24">
        <f ca="1">SUM(AH$7:AH123)</f>
        <v>0</v>
      </c>
      <c r="BS123" s="46">
        <f ca="1">SUM(AI$7:AI122)</f>
        <v>0</v>
      </c>
      <c r="BT123" s="24">
        <f t="shared" ca="1" si="84"/>
        <v>0</v>
      </c>
    </row>
    <row r="124" spans="1:72" s="12" customFormat="1">
      <c r="A124" s="202">
        <f>Kontenplan!C126</f>
        <v>0</v>
      </c>
      <c r="B124" s="224">
        <f>Kontenplan!E126</f>
        <v>0</v>
      </c>
      <c r="C124" s="225">
        <f>Kontenplan!F126</f>
        <v>0</v>
      </c>
      <c r="D124" s="43">
        <f>IF(B124=0,0,SUMIF(Journal!$F$7:$F$83,Calc!B124,Journal!$I$7:$I$83))</f>
        <v>0</v>
      </c>
      <c r="E124" s="15">
        <f>IF(B124=0,0,SUMIF(Journal!$G$7:$M198,Calc!B124,Journal!$I$7:$I$83))</f>
        <v>0</v>
      </c>
      <c r="F124" s="44">
        <f t="shared" si="48"/>
        <v>0</v>
      </c>
      <c r="G124" s="15">
        <f t="shared" si="49"/>
        <v>0</v>
      </c>
      <c r="H124" s="14" t="str">
        <f t="shared" si="50"/>
        <v xml:space="preserve"> </v>
      </c>
      <c r="I124" s="43" t="str">
        <f t="shared" si="51"/>
        <v xml:space="preserve"> </v>
      </c>
      <c r="J124" s="45" t="str">
        <f t="shared" si="52"/>
        <v xml:space="preserve"> </v>
      </c>
      <c r="K124" s="48" t="str">
        <f t="shared" si="53"/>
        <v xml:space="preserve"> </v>
      </c>
      <c r="L124" s="45" t="str">
        <f t="shared" si="54"/>
        <v xml:space="preserve"> </v>
      </c>
      <c r="M124" s="48" t="str">
        <f t="shared" si="55"/>
        <v xml:space="preserve"> </v>
      </c>
      <c r="N124" s="24"/>
      <c r="O124" s="12">
        <f t="shared" si="56"/>
        <v>10.02159999999995</v>
      </c>
      <c r="P124" s="12">
        <f t="shared" si="57"/>
        <v>9.0197999999999539</v>
      </c>
      <c r="Q124" s="12">
        <f t="shared" si="58"/>
        <v>31.013599999999968</v>
      </c>
      <c r="R124" s="12">
        <f t="shared" si="59"/>
        <v>29.007799999999982</v>
      </c>
      <c r="S124" s="12">
        <f t="shared" si="60"/>
        <v>0</v>
      </c>
      <c r="T124" s="12">
        <f t="shared" si="61"/>
        <v>0</v>
      </c>
      <c r="U124" s="43">
        <f>IF(OR(A124=Kontenplan!$C$3,A124=Kontenplan!$C$5),F124-G124,G124-F124)</f>
        <v>0</v>
      </c>
      <c r="V124" s="171">
        <f t="shared" si="44"/>
        <v>118</v>
      </c>
      <c r="W124" s="12">
        <f t="shared" si="45"/>
        <v>91</v>
      </c>
      <c r="X124" s="12">
        <f t="shared" si="46"/>
        <v>93</v>
      </c>
      <c r="Y124" s="12">
        <f>IF(Z124=0,VLOOKUP(W124,Kontenplan!$Y$9:$AA$551,3),"")</f>
        <v>0</v>
      </c>
      <c r="Z124" s="12">
        <f t="shared" si="62"/>
        <v>0</v>
      </c>
      <c r="AA124" s="12" t="str">
        <f t="shared" ca="1" si="63"/>
        <v/>
      </c>
      <c r="AB124" s="46" t="str">
        <f t="shared" ca="1" si="64"/>
        <v/>
      </c>
      <c r="AC124" s="46" t="str">
        <f t="shared" ca="1" si="65"/>
        <v/>
      </c>
      <c r="AD124" s="47"/>
      <c r="AE124" s="12">
        <f>IF(AF124=0,VLOOKUP(X124,Kontenplan!$Z$9:$AB$551,3),"")</f>
        <v>0</v>
      </c>
      <c r="AF124" s="47">
        <f t="shared" si="66"/>
        <v>0</v>
      </c>
      <c r="AG124" s="12" t="str">
        <f t="shared" ca="1" si="67"/>
        <v/>
      </c>
      <c r="AH124" s="46" t="str">
        <f t="shared" ca="1" si="68"/>
        <v/>
      </c>
      <c r="AI124" s="46" t="str">
        <f t="shared" ca="1" si="69"/>
        <v/>
      </c>
      <c r="AJ124" s="46"/>
      <c r="AK124" s="147">
        <f t="shared" ca="1" si="70"/>
        <v>2.0108000000000228</v>
      </c>
      <c r="AL124" s="147">
        <f t="shared" si="71"/>
        <v>2.0111000000000234</v>
      </c>
      <c r="AM124" s="12" t="str">
        <f>IF(V124&lt;=AO$3,VLOOKUP(V124,Kontenplan!$A$9:$D$278,4),"")</f>
        <v/>
      </c>
      <c r="AN124" s="12">
        <f t="shared" si="72"/>
        <v>0</v>
      </c>
      <c r="AO124" s="12" t="str">
        <f t="shared" ca="1" si="73"/>
        <v/>
      </c>
      <c r="AP124" s="46" t="str">
        <f t="shared" ca="1" si="74"/>
        <v/>
      </c>
      <c r="AQ124" s="46" t="str">
        <f t="shared" ca="1" si="75"/>
        <v/>
      </c>
      <c r="AR124" s="46"/>
      <c r="AS124" s="147">
        <f t="shared" ca="1" si="76"/>
        <v>3.0107000000000226</v>
      </c>
      <c r="AT124" s="147">
        <f t="shared" si="77"/>
        <v>2.0112000000000236</v>
      </c>
      <c r="AU124" s="47" t="str">
        <f>IF(V124&lt;=AW$3,VLOOKUP(AO$3+V124,Kontenplan!$A$9:$D$278,4),"")</f>
        <v/>
      </c>
      <c r="AV124" s="12">
        <f t="shared" si="78"/>
        <v>0</v>
      </c>
      <c r="AW124" s="12" t="str">
        <f t="shared" ca="1" si="79"/>
        <v/>
      </c>
      <c r="AX124" s="46" t="str">
        <f t="shared" ca="1" si="47"/>
        <v/>
      </c>
      <c r="AY124" s="46" t="str">
        <f t="shared" ca="1" si="80"/>
        <v/>
      </c>
      <c r="BA124" s="12">
        <f>Kontenplan!R126</f>
        <v>3</v>
      </c>
      <c r="BB124" s="12">
        <f>Kontenplan!S126</f>
        <v>2</v>
      </c>
      <c r="BC124" s="12">
        <f>Kontenplan!T126</f>
        <v>4</v>
      </c>
      <c r="BD124" s="170">
        <f>Kontenplan!U126</f>
        <v>4</v>
      </c>
      <c r="BF124" s="24">
        <f ca="1">SUM(AP$7:AP124)</f>
        <v>0</v>
      </c>
      <c r="BG124" s="46">
        <f ca="1">SUM(AQ$7:AQ123)</f>
        <v>0</v>
      </c>
      <c r="BH124" s="24">
        <f t="shared" ca="1" si="81"/>
        <v>0</v>
      </c>
      <c r="BI124" s="24"/>
      <c r="BJ124" s="24">
        <f ca="1">SUM(AX$7:AX124)</f>
        <v>0</v>
      </c>
      <c r="BK124" s="24">
        <f ca="1">SUM(AY$7:AY123)</f>
        <v>0</v>
      </c>
      <c r="BL124" s="24">
        <f t="shared" ca="1" si="82"/>
        <v>0</v>
      </c>
      <c r="BN124" s="24">
        <f ca="1">SUM(AB$7:AB124)</f>
        <v>0</v>
      </c>
      <c r="BO124" s="46">
        <f ca="1">SUM(AC$7:AC123)</f>
        <v>0</v>
      </c>
      <c r="BP124" s="24">
        <f t="shared" ca="1" si="83"/>
        <v>0</v>
      </c>
      <c r="BR124" s="24">
        <f ca="1">SUM(AH$7:AH124)</f>
        <v>0</v>
      </c>
      <c r="BS124" s="46">
        <f ca="1">SUM(AI$7:AI123)</f>
        <v>0</v>
      </c>
      <c r="BT124" s="24">
        <f t="shared" ca="1" si="84"/>
        <v>0</v>
      </c>
    </row>
    <row r="125" spans="1:72" s="12" customFormat="1">
      <c r="A125" s="202">
        <f>Kontenplan!C127</f>
        <v>0</v>
      </c>
      <c r="B125" s="224">
        <f>Kontenplan!E127</f>
        <v>0</v>
      </c>
      <c r="C125" s="225">
        <f>Kontenplan!F127</f>
        <v>0</v>
      </c>
      <c r="D125" s="43">
        <f>IF(B125=0,0,SUMIF(Journal!$F$7:$F$83,Calc!B125,Journal!$I$7:$I$83))</f>
        <v>0</v>
      </c>
      <c r="E125" s="15">
        <f>IF(B125=0,0,SUMIF(Journal!$G$7:$M199,Calc!B125,Journal!$I$7:$I$83))</f>
        <v>0</v>
      </c>
      <c r="F125" s="44">
        <f t="shared" si="48"/>
        <v>0</v>
      </c>
      <c r="G125" s="15">
        <f t="shared" si="49"/>
        <v>0</v>
      </c>
      <c r="H125" s="14" t="str">
        <f t="shared" si="50"/>
        <v xml:space="preserve"> </v>
      </c>
      <c r="I125" s="43" t="str">
        <f t="shared" si="51"/>
        <v xml:space="preserve"> </v>
      </c>
      <c r="J125" s="45" t="str">
        <f t="shared" si="52"/>
        <v xml:space="preserve"> </v>
      </c>
      <c r="K125" s="48" t="str">
        <f t="shared" si="53"/>
        <v xml:space="preserve"> </v>
      </c>
      <c r="L125" s="45" t="str">
        <f t="shared" si="54"/>
        <v xml:space="preserve"> </v>
      </c>
      <c r="M125" s="48" t="str">
        <f t="shared" si="55"/>
        <v xml:space="preserve"> </v>
      </c>
      <c r="N125" s="24"/>
      <c r="O125" s="12">
        <f t="shared" si="56"/>
        <v>10.021799999999949</v>
      </c>
      <c r="P125" s="12">
        <f t="shared" si="57"/>
        <v>9.0199999999999534</v>
      </c>
      <c r="Q125" s="12">
        <f t="shared" si="58"/>
        <v>31.013799999999968</v>
      </c>
      <c r="R125" s="12">
        <f t="shared" si="59"/>
        <v>29.007999999999981</v>
      </c>
      <c r="S125" s="12">
        <f t="shared" si="60"/>
        <v>0</v>
      </c>
      <c r="T125" s="12">
        <f t="shared" si="61"/>
        <v>0</v>
      </c>
      <c r="U125" s="43">
        <f>IF(OR(A125=Kontenplan!$C$3,A125=Kontenplan!$C$5),F125-G125,G125-F125)</f>
        <v>0</v>
      </c>
      <c r="V125" s="171">
        <f t="shared" si="44"/>
        <v>119</v>
      </c>
      <c r="W125" s="12">
        <f t="shared" si="45"/>
        <v>92</v>
      </c>
      <c r="X125" s="12">
        <f t="shared" si="46"/>
        <v>94</v>
      </c>
      <c r="Y125" s="12">
        <f>IF(Z125=0,VLOOKUP(W125,Kontenplan!$Y$9:$AA$551,3),"")</f>
        <v>0</v>
      </c>
      <c r="Z125" s="12">
        <f t="shared" si="62"/>
        <v>0</v>
      </c>
      <c r="AA125" s="12" t="str">
        <f t="shared" ca="1" si="63"/>
        <v/>
      </c>
      <c r="AB125" s="46" t="str">
        <f t="shared" ca="1" si="64"/>
        <v/>
      </c>
      <c r="AC125" s="46" t="str">
        <f t="shared" ca="1" si="65"/>
        <v/>
      </c>
      <c r="AD125" s="47"/>
      <c r="AE125" s="12">
        <f>IF(AF125=0,VLOOKUP(X125,Kontenplan!$Z$9:$AB$551,3),"")</f>
        <v>0</v>
      </c>
      <c r="AF125" s="47">
        <f t="shared" si="66"/>
        <v>0</v>
      </c>
      <c r="AG125" s="12" t="str">
        <f t="shared" ca="1" si="67"/>
        <v/>
      </c>
      <c r="AH125" s="46" t="str">
        <f t="shared" ca="1" si="68"/>
        <v/>
      </c>
      <c r="AI125" s="46" t="str">
        <f t="shared" ca="1" si="69"/>
        <v/>
      </c>
      <c r="AJ125" s="46"/>
      <c r="AK125" s="147">
        <f t="shared" ca="1" si="70"/>
        <v>2.010900000000023</v>
      </c>
      <c r="AL125" s="147">
        <f t="shared" si="71"/>
        <v>2.0112000000000236</v>
      </c>
      <c r="AM125" s="12" t="str">
        <f>IF(V125&lt;=AO$3,VLOOKUP(V125,Kontenplan!$A$9:$D$278,4),"")</f>
        <v/>
      </c>
      <c r="AN125" s="12">
        <f t="shared" si="72"/>
        <v>0</v>
      </c>
      <c r="AO125" s="12" t="str">
        <f t="shared" ca="1" si="73"/>
        <v/>
      </c>
      <c r="AP125" s="46" t="str">
        <f t="shared" ca="1" si="74"/>
        <v/>
      </c>
      <c r="AQ125" s="46" t="str">
        <f t="shared" ca="1" si="75"/>
        <v/>
      </c>
      <c r="AR125" s="46"/>
      <c r="AS125" s="147">
        <f t="shared" ca="1" si="76"/>
        <v>3.0108000000000228</v>
      </c>
      <c r="AT125" s="147">
        <f t="shared" si="77"/>
        <v>2.0113000000000238</v>
      </c>
      <c r="AU125" s="47" t="str">
        <f>IF(V125&lt;=AW$3,VLOOKUP(AO$3+V125,Kontenplan!$A$9:$D$278,4),"")</f>
        <v/>
      </c>
      <c r="AV125" s="12">
        <f t="shared" si="78"/>
        <v>0</v>
      </c>
      <c r="AW125" s="12" t="str">
        <f t="shared" ca="1" si="79"/>
        <v/>
      </c>
      <c r="AX125" s="46" t="str">
        <f t="shared" ca="1" si="47"/>
        <v/>
      </c>
      <c r="AY125" s="46" t="str">
        <f t="shared" ca="1" si="80"/>
        <v/>
      </c>
      <c r="BA125" s="12">
        <f>Kontenplan!R127</f>
        <v>3</v>
      </c>
      <c r="BB125" s="12">
        <f>Kontenplan!S127</f>
        <v>2</v>
      </c>
      <c r="BC125" s="12">
        <f>Kontenplan!T127</f>
        <v>4</v>
      </c>
      <c r="BD125" s="170">
        <f>Kontenplan!U127</f>
        <v>4</v>
      </c>
      <c r="BF125" s="24">
        <f ca="1">SUM(AP$7:AP125)</f>
        <v>0</v>
      </c>
      <c r="BG125" s="46">
        <f ca="1">SUM(AQ$7:AQ124)</f>
        <v>0</v>
      </c>
      <c r="BH125" s="24">
        <f t="shared" ca="1" si="81"/>
        <v>0</v>
      </c>
      <c r="BI125" s="24"/>
      <c r="BJ125" s="24">
        <f ca="1">SUM(AX$7:AX125)</f>
        <v>0</v>
      </c>
      <c r="BK125" s="24">
        <f ca="1">SUM(AY$7:AY124)</f>
        <v>0</v>
      </c>
      <c r="BL125" s="24">
        <f t="shared" ca="1" si="82"/>
        <v>0</v>
      </c>
      <c r="BN125" s="24">
        <f ca="1">SUM(AB$7:AB125)</f>
        <v>0</v>
      </c>
      <c r="BO125" s="46">
        <f ca="1">SUM(AC$7:AC124)</f>
        <v>0</v>
      </c>
      <c r="BP125" s="24">
        <f t="shared" ca="1" si="83"/>
        <v>0</v>
      </c>
      <c r="BR125" s="24">
        <f ca="1">SUM(AH$7:AH125)</f>
        <v>0</v>
      </c>
      <c r="BS125" s="46">
        <f ca="1">SUM(AI$7:AI124)</f>
        <v>0</v>
      </c>
      <c r="BT125" s="24">
        <f t="shared" ca="1" si="84"/>
        <v>0</v>
      </c>
    </row>
    <row r="126" spans="1:72" s="12" customFormat="1">
      <c r="A126" s="202">
        <f>Kontenplan!C128</f>
        <v>0</v>
      </c>
      <c r="B126" s="224">
        <f>Kontenplan!E128</f>
        <v>0</v>
      </c>
      <c r="C126" s="225">
        <f>Kontenplan!F128</f>
        <v>0</v>
      </c>
      <c r="D126" s="43">
        <f>IF(B126=0,0,SUMIF(Journal!$F$7:$F$83,Calc!B126,Journal!$I$7:$I$83))</f>
        <v>0</v>
      </c>
      <c r="E126" s="15">
        <f>IF(B126=0,0,SUMIF(Journal!$G$7:$M200,Calc!B126,Journal!$I$7:$I$83))</f>
        <v>0</v>
      </c>
      <c r="F126" s="44">
        <f t="shared" si="48"/>
        <v>0</v>
      </c>
      <c r="G126" s="15">
        <f t="shared" si="49"/>
        <v>0</v>
      </c>
      <c r="H126" s="14" t="str">
        <f t="shared" si="50"/>
        <v xml:space="preserve"> </v>
      </c>
      <c r="I126" s="43" t="str">
        <f t="shared" si="51"/>
        <v xml:space="preserve"> </v>
      </c>
      <c r="J126" s="45" t="str">
        <f t="shared" si="52"/>
        <v xml:space="preserve"> </v>
      </c>
      <c r="K126" s="48" t="str">
        <f t="shared" si="53"/>
        <v xml:space="preserve"> </v>
      </c>
      <c r="L126" s="45" t="str">
        <f t="shared" si="54"/>
        <v xml:space="preserve"> </v>
      </c>
      <c r="M126" s="48" t="str">
        <f t="shared" si="55"/>
        <v xml:space="preserve"> </v>
      </c>
      <c r="N126" s="24"/>
      <c r="O126" s="12">
        <f t="shared" si="56"/>
        <v>10.021999999999949</v>
      </c>
      <c r="P126" s="12">
        <f t="shared" si="57"/>
        <v>9.0201999999999529</v>
      </c>
      <c r="Q126" s="12">
        <f t="shared" si="58"/>
        <v>31.013999999999967</v>
      </c>
      <c r="R126" s="12">
        <f t="shared" si="59"/>
        <v>29.008199999999981</v>
      </c>
      <c r="S126" s="12">
        <f t="shared" si="60"/>
        <v>0</v>
      </c>
      <c r="T126" s="12">
        <f t="shared" si="61"/>
        <v>0</v>
      </c>
      <c r="U126" s="43">
        <f>IF(OR(A126=Kontenplan!$C$3,A126=Kontenplan!$C$5),F126-G126,G126-F126)</f>
        <v>0</v>
      </c>
      <c r="V126" s="171">
        <f t="shared" si="44"/>
        <v>120</v>
      </c>
      <c r="W126" s="12">
        <f t="shared" si="45"/>
        <v>93</v>
      </c>
      <c r="X126" s="12">
        <f t="shared" si="46"/>
        <v>95</v>
      </c>
      <c r="Y126" s="12">
        <f>IF(Z126=0,VLOOKUP(W126,Kontenplan!$Y$9:$AA$551,3),"")</f>
        <v>0</v>
      </c>
      <c r="Z126" s="12">
        <f t="shared" si="62"/>
        <v>0</v>
      </c>
      <c r="AA126" s="12" t="str">
        <f t="shared" ca="1" si="63"/>
        <v/>
      </c>
      <c r="AB126" s="46" t="str">
        <f t="shared" ca="1" si="64"/>
        <v/>
      </c>
      <c r="AC126" s="46" t="str">
        <f t="shared" ca="1" si="65"/>
        <v/>
      </c>
      <c r="AD126" s="47"/>
      <c r="AE126" s="12">
        <f>IF(AF126=0,VLOOKUP(X126,Kontenplan!$Z$9:$AB$551,3),"")</f>
        <v>0</v>
      </c>
      <c r="AF126" s="47">
        <f t="shared" si="66"/>
        <v>0</v>
      </c>
      <c r="AG126" s="12" t="str">
        <f t="shared" ca="1" si="67"/>
        <v/>
      </c>
      <c r="AH126" s="46" t="str">
        <f t="shared" ca="1" si="68"/>
        <v/>
      </c>
      <c r="AI126" s="46" t="str">
        <f t="shared" ca="1" si="69"/>
        <v/>
      </c>
      <c r="AJ126" s="46"/>
      <c r="AK126" s="147">
        <f t="shared" ca="1" si="70"/>
        <v>2.0110000000000232</v>
      </c>
      <c r="AL126" s="147">
        <f t="shared" si="71"/>
        <v>2.0113000000000238</v>
      </c>
      <c r="AM126" s="12" t="str">
        <f>IF(V126&lt;=AO$3,VLOOKUP(V126,Kontenplan!$A$9:$D$278,4),"")</f>
        <v/>
      </c>
      <c r="AN126" s="12">
        <f t="shared" si="72"/>
        <v>0</v>
      </c>
      <c r="AO126" s="12" t="str">
        <f t="shared" ca="1" si="73"/>
        <v/>
      </c>
      <c r="AP126" s="46" t="str">
        <f t="shared" ca="1" si="74"/>
        <v/>
      </c>
      <c r="AQ126" s="46" t="str">
        <f t="shared" ca="1" si="75"/>
        <v/>
      </c>
      <c r="AR126" s="46"/>
      <c r="AS126" s="147">
        <f t="shared" ca="1" si="76"/>
        <v>3.010900000000023</v>
      </c>
      <c r="AT126" s="147">
        <f t="shared" si="77"/>
        <v>2.0114000000000241</v>
      </c>
      <c r="AU126" s="47" t="str">
        <f>IF(V126&lt;=AW$3,VLOOKUP(AO$3+V126,Kontenplan!$A$9:$D$278,4),"")</f>
        <v/>
      </c>
      <c r="AV126" s="12">
        <f t="shared" si="78"/>
        <v>0</v>
      </c>
      <c r="AW126" s="12" t="str">
        <f t="shared" ca="1" si="79"/>
        <v/>
      </c>
      <c r="AX126" s="46" t="str">
        <f t="shared" ca="1" si="47"/>
        <v/>
      </c>
      <c r="AY126" s="46" t="str">
        <f t="shared" ca="1" si="80"/>
        <v/>
      </c>
      <c r="BA126" s="12">
        <f>Kontenplan!R128</f>
        <v>3</v>
      </c>
      <c r="BB126" s="12">
        <f>Kontenplan!S128</f>
        <v>2</v>
      </c>
      <c r="BC126" s="12">
        <f>Kontenplan!T128</f>
        <v>4</v>
      </c>
      <c r="BD126" s="170">
        <f>Kontenplan!U128</f>
        <v>4</v>
      </c>
      <c r="BF126" s="24">
        <f ca="1">SUM(AP$7:AP126)</f>
        <v>0</v>
      </c>
      <c r="BG126" s="46">
        <f ca="1">SUM(AQ$7:AQ125)</f>
        <v>0</v>
      </c>
      <c r="BH126" s="24">
        <f t="shared" ca="1" si="81"/>
        <v>0</v>
      </c>
      <c r="BI126" s="24"/>
      <c r="BJ126" s="24">
        <f ca="1">SUM(AX$7:AX126)</f>
        <v>0</v>
      </c>
      <c r="BK126" s="24">
        <f ca="1">SUM(AY$7:AY125)</f>
        <v>0</v>
      </c>
      <c r="BL126" s="24">
        <f t="shared" ca="1" si="82"/>
        <v>0</v>
      </c>
      <c r="BN126" s="24">
        <f ca="1">SUM(AB$7:AB126)</f>
        <v>0</v>
      </c>
      <c r="BO126" s="46">
        <f ca="1">SUM(AC$7:AC125)</f>
        <v>0</v>
      </c>
      <c r="BP126" s="24">
        <f t="shared" ca="1" si="83"/>
        <v>0</v>
      </c>
      <c r="BR126" s="24">
        <f ca="1">SUM(AH$7:AH126)</f>
        <v>0</v>
      </c>
      <c r="BS126" s="46">
        <f ca="1">SUM(AI$7:AI125)</f>
        <v>0</v>
      </c>
      <c r="BT126" s="24">
        <f t="shared" ca="1" si="84"/>
        <v>0</v>
      </c>
    </row>
    <row r="127" spans="1:72" s="12" customFormat="1">
      <c r="A127" s="202">
        <f>Kontenplan!C129</f>
        <v>0</v>
      </c>
      <c r="B127" s="224">
        <f>Kontenplan!E129</f>
        <v>0</v>
      </c>
      <c r="C127" s="225">
        <f>Kontenplan!F129</f>
        <v>0</v>
      </c>
      <c r="D127" s="43">
        <f>IF(B127=0,0,SUMIF(Journal!$F$7:$F$83,Calc!B127,Journal!$I$7:$I$83))</f>
        <v>0</v>
      </c>
      <c r="E127" s="15">
        <f>IF(B127=0,0,SUMIF(Journal!$G$7:$M201,Calc!B127,Journal!$I$7:$I$83))</f>
        <v>0</v>
      </c>
      <c r="F127" s="44">
        <f t="shared" si="48"/>
        <v>0</v>
      </c>
      <c r="G127" s="15">
        <f t="shared" si="49"/>
        <v>0</v>
      </c>
      <c r="H127" s="14" t="str">
        <f t="shared" si="50"/>
        <v xml:space="preserve"> </v>
      </c>
      <c r="I127" s="43" t="str">
        <f t="shared" si="51"/>
        <v xml:space="preserve"> </v>
      </c>
      <c r="J127" s="45" t="str">
        <f t="shared" si="52"/>
        <v xml:space="preserve"> </v>
      </c>
      <c r="K127" s="48" t="str">
        <f t="shared" si="53"/>
        <v xml:space="preserve"> </v>
      </c>
      <c r="L127" s="45" t="str">
        <f t="shared" si="54"/>
        <v xml:space="preserve"> </v>
      </c>
      <c r="M127" s="48" t="str">
        <f t="shared" si="55"/>
        <v xml:space="preserve"> </v>
      </c>
      <c r="N127" s="24"/>
      <c r="O127" s="12">
        <f t="shared" si="56"/>
        <v>10.022199999999948</v>
      </c>
      <c r="P127" s="12">
        <f t="shared" si="57"/>
        <v>9.0203999999999525</v>
      </c>
      <c r="Q127" s="12">
        <f t="shared" si="58"/>
        <v>31.014199999999967</v>
      </c>
      <c r="R127" s="12">
        <f t="shared" si="59"/>
        <v>29.00839999999998</v>
      </c>
      <c r="S127" s="12">
        <f t="shared" si="60"/>
        <v>0</v>
      </c>
      <c r="T127" s="12">
        <f t="shared" si="61"/>
        <v>0</v>
      </c>
      <c r="U127" s="43">
        <f>IF(OR(A127=Kontenplan!$C$3,A127=Kontenplan!$C$5),F127-G127,G127-F127)</f>
        <v>0</v>
      </c>
      <c r="V127" s="171">
        <f t="shared" si="44"/>
        <v>121</v>
      </c>
      <c r="W127" s="12">
        <f t="shared" si="45"/>
        <v>94</v>
      </c>
      <c r="X127" s="12">
        <f t="shared" si="46"/>
        <v>96</v>
      </c>
      <c r="Y127" s="12">
        <f>IF(Z127=0,VLOOKUP(W127,Kontenplan!$Y$9:$AA$551,3),"")</f>
        <v>0</v>
      </c>
      <c r="Z127" s="12">
        <f t="shared" si="62"/>
        <v>0</v>
      </c>
      <c r="AA127" s="12" t="str">
        <f t="shared" ca="1" si="63"/>
        <v/>
      </c>
      <c r="AB127" s="46" t="str">
        <f t="shared" ca="1" si="64"/>
        <v/>
      </c>
      <c r="AC127" s="46" t="str">
        <f t="shared" ca="1" si="65"/>
        <v/>
      </c>
      <c r="AD127" s="47"/>
      <c r="AE127" s="12">
        <f>IF(AF127=0,VLOOKUP(X127,Kontenplan!$Z$9:$AB$551,3),"")</f>
        <v>0</v>
      </c>
      <c r="AF127" s="47">
        <f t="shared" si="66"/>
        <v>0</v>
      </c>
      <c r="AG127" s="12" t="str">
        <f t="shared" ca="1" si="67"/>
        <v/>
      </c>
      <c r="AH127" s="46" t="str">
        <f t="shared" ca="1" si="68"/>
        <v/>
      </c>
      <c r="AI127" s="46" t="str">
        <f t="shared" ca="1" si="69"/>
        <v/>
      </c>
      <c r="AJ127" s="46"/>
      <c r="AK127" s="147">
        <f t="shared" ca="1" si="70"/>
        <v>2.0111000000000234</v>
      </c>
      <c r="AL127" s="147">
        <f t="shared" si="71"/>
        <v>2.0114000000000241</v>
      </c>
      <c r="AM127" s="12" t="str">
        <f>IF(V127&lt;=AO$3,VLOOKUP(V127,Kontenplan!$A$9:$D$278,4),"")</f>
        <v/>
      </c>
      <c r="AN127" s="12">
        <f t="shared" si="72"/>
        <v>0</v>
      </c>
      <c r="AO127" s="12" t="str">
        <f t="shared" ca="1" si="73"/>
        <v/>
      </c>
      <c r="AP127" s="46" t="str">
        <f t="shared" ca="1" si="74"/>
        <v/>
      </c>
      <c r="AQ127" s="46" t="str">
        <f t="shared" ca="1" si="75"/>
        <v/>
      </c>
      <c r="AR127" s="46"/>
      <c r="AS127" s="147">
        <f t="shared" ca="1" si="76"/>
        <v>3.0110000000000232</v>
      </c>
      <c r="AT127" s="147">
        <f t="shared" si="77"/>
        <v>2.0115000000000243</v>
      </c>
      <c r="AU127" s="47" t="str">
        <f>IF(V127&lt;=AW$3,VLOOKUP(AO$3+V127,Kontenplan!$A$9:$D$278,4),"")</f>
        <v/>
      </c>
      <c r="AV127" s="12">
        <f t="shared" si="78"/>
        <v>0</v>
      </c>
      <c r="AW127" s="12" t="str">
        <f t="shared" ca="1" si="79"/>
        <v/>
      </c>
      <c r="AX127" s="46" t="str">
        <f t="shared" ca="1" si="47"/>
        <v/>
      </c>
      <c r="AY127" s="46" t="str">
        <f t="shared" ca="1" si="80"/>
        <v/>
      </c>
      <c r="BA127" s="12">
        <f>Kontenplan!R129</f>
        <v>3</v>
      </c>
      <c r="BB127" s="12">
        <f>Kontenplan!S129</f>
        <v>2</v>
      </c>
      <c r="BC127" s="12">
        <f>Kontenplan!T129</f>
        <v>4</v>
      </c>
      <c r="BD127" s="170">
        <f>Kontenplan!U129</f>
        <v>4</v>
      </c>
      <c r="BF127" s="24">
        <f ca="1">SUM(AP$7:AP127)</f>
        <v>0</v>
      </c>
      <c r="BG127" s="46">
        <f ca="1">SUM(AQ$7:AQ126)</f>
        <v>0</v>
      </c>
      <c r="BH127" s="24">
        <f t="shared" ca="1" si="81"/>
        <v>0</v>
      </c>
      <c r="BI127" s="24"/>
      <c r="BJ127" s="24">
        <f ca="1">SUM(AX$7:AX127)</f>
        <v>0</v>
      </c>
      <c r="BK127" s="24">
        <f ca="1">SUM(AY$7:AY126)</f>
        <v>0</v>
      </c>
      <c r="BL127" s="24">
        <f t="shared" ca="1" si="82"/>
        <v>0</v>
      </c>
      <c r="BN127" s="24">
        <f ca="1">SUM(AB$7:AB127)</f>
        <v>0</v>
      </c>
      <c r="BO127" s="46">
        <f ca="1">SUM(AC$7:AC126)</f>
        <v>0</v>
      </c>
      <c r="BP127" s="24">
        <f t="shared" ca="1" si="83"/>
        <v>0</v>
      </c>
      <c r="BR127" s="24">
        <f ca="1">SUM(AH$7:AH127)</f>
        <v>0</v>
      </c>
      <c r="BS127" s="46">
        <f ca="1">SUM(AI$7:AI126)</f>
        <v>0</v>
      </c>
      <c r="BT127" s="24">
        <f t="shared" ca="1" si="84"/>
        <v>0</v>
      </c>
    </row>
    <row r="128" spans="1:72" s="12" customFormat="1">
      <c r="A128" s="202">
        <f>Kontenplan!C130</f>
        <v>0</v>
      </c>
      <c r="B128" s="224">
        <f>Kontenplan!E130</f>
        <v>0</v>
      </c>
      <c r="C128" s="225">
        <f>Kontenplan!F130</f>
        <v>0</v>
      </c>
      <c r="D128" s="43">
        <f>IF(B128=0,0,SUMIF(Journal!$F$7:$F$83,Calc!B128,Journal!$I$7:$I$83))</f>
        <v>0</v>
      </c>
      <c r="E128" s="15">
        <f>IF(B128=0,0,SUMIF(Journal!$G$7:$M202,Calc!B128,Journal!$I$7:$I$83))</f>
        <v>0</v>
      </c>
      <c r="F128" s="44">
        <f t="shared" si="48"/>
        <v>0</v>
      </c>
      <c r="G128" s="15">
        <f t="shared" si="49"/>
        <v>0</v>
      </c>
      <c r="H128" s="14" t="str">
        <f t="shared" si="50"/>
        <v xml:space="preserve"> </v>
      </c>
      <c r="I128" s="43" t="str">
        <f t="shared" si="51"/>
        <v xml:space="preserve"> </v>
      </c>
      <c r="J128" s="45" t="str">
        <f t="shared" si="52"/>
        <v xml:space="preserve"> </v>
      </c>
      <c r="K128" s="48" t="str">
        <f t="shared" si="53"/>
        <v xml:space="preserve"> </v>
      </c>
      <c r="L128" s="45" t="str">
        <f t="shared" si="54"/>
        <v xml:space="preserve"> </v>
      </c>
      <c r="M128" s="48" t="str">
        <f t="shared" si="55"/>
        <v xml:space="preserve"> </v>
      </c>
      <c r="N128" s="24"/>
      <c r="O128" s="12">
        <f t="shared" si="56"/>
        <v>10.022399999999948</v>
      </c>
      <c r="P128" s="12">
        <f t="shared" si="57"/>
        <v>9.020599999999952</v>
      </c>
      <c r="Q128" s="12">
        <f t="shared" si="58"/>
        <v>31.014399999999966</v>
      </c>
      <c r="R128" s="12">
        <f t="shared" si="59"/>
        <v>29.00859999999998</v>
      </c>
      <c r="S128" s="12">
        <f t="shared" si="60"/>
        <v>0</v>
      </c>
      <c r="T128" s="12">
        <f t="shared" si="61"/>
        <v>0</v>
      </c>
      <c r="U128" s="43">
        <f>IF(OR(A128=Kontenplan!$C$3,A128=Kontenplan!$C$5),F128-G128,G128-F128)</f>
        <v>0</v>
      </c>
      <c r="V128" s="171">
        <f t="shared" si="44"/>
        <v>122</v>
      </c>
      <c r="W128" s="12">
        <f t="shared" si="45"/>
        <v>95</v>
      </c>
      <c r="X128" s="12">
        <f t="shared" si="46"/>
        <v>97</v>
      </c>
      <c r="Y128" s="12">
        <f>IF(Z128=0,VLOOKUP(W128,Kontenplan!$Y$9:$AA$551,3),"")</f>
        <v>0</v>
      </c>
      <c r="Z128" s="12">
        <f t="shared" si="62"/>
        <v>0</v>
      </c>
      <c r="AA128" s="12" t="str">
        <f t="shared" ca="1" si="63"/>
        <v/>
      </c>
      <c r="AB128" s="46" t="str">
        <f t="shared" ca="1" si="64"/>
        <v/>
      </c>
      <c r="AC128" s="46" t="str">
        <f t="shared" ca="1" si="65"/>
        <v/>
      </c>
      <c r="AD128" s="47"/>
      <c r="AE128" s="12">
        <f>IF(AF128=0,VLOOKUP(X128,Kontenplan!$Z$9:$AB$551,3),"")</f>
        <v>0</v>
      </c>
      <c r="AF128" s="47">
        <f t="shared" si="66"/>
        <v>0</v>
      </c>
      <c r="AG128" s="12" t="str">
        <f t="shared" ca="1" si="67"/>
        <v/>
      </c>
      <c r="AH128" s="46" t="str">
        <f t="shared" ca="1" si="68"/>
        <v/>
      </c>
      <c r="AI128" s="46" t="str">
        <f t="shared" ca="1" si="69"/>
        <v/>
      </c>
      <c r="AJ128" s="46"/>
      <c r="AK128" s="147">
        <f t="shared" ca="1" si="70"/>
        <v>2.0112000000000236</v>
      </c>
      <c r="AL128" s="147">
        <f t="shared" si="71"/>
        <v>2.0115000000000243</v>
      </c>
      <c r="AM128" s="12" t="str">
        <f>IF(V128&lt;=AO$3,VLOOKUP(V128,Kontenplan!$A$9:$D$278,4),"")</f>
        <v/>
      </c>
      <c r="AN128" s="12">
        <f t="shared" si="72"/>
        <v>0</v>
      </c>
      <c r="AO128" s="12" t="str">
        <f t="shared" ca="1" si="73"/>
        <v/>
      </c>
      <c r="AP128" s="46" t="str">
        <f t="shared" ca="1" si="74"/>
        <v/>
      </c>
      <c r="AQ128" s="46" t="str">
        <f t="shared" ca="1" si="75"/>
        <v/>
      </c>
      <c r="AR128" s="46"/>
      <c r="AS128" s="147">
        <f t="shared" ca="1" si="76"/>
        <v>3.0111000000000234</v>
      </c>
      <c r="AT128" s="147">
        <f t="shared" si="77"/>
        <v>2.0116000000000245</v>
      </c>
      <c r="AU128" s="47" t="str">
        <f>IF(V128&lt;=AW$3,VLOOKUP(AO$3+V128,Kontenplan!$A$9:$D$278,4),"")</f>
        <v/>
      </c>
      <c r="AV128" s="12">
        <f t="shared" si="78"/>
        <v>0</v>
      </c>
      <c r="AW128" s="12" t="str">
        <f t="shared" ca="1" si="79"/>
        <v/>
      </c>
      <c r="AX128" s="46" t="str">
        <f t="shared" ca="1" si="47"/>
        <v/>
      </c>
      <c r="AY128" s="46" t="str">
        <f t="shared" ca="1" si="80"/>
        <v/>
      </c>
      <c r="BA128" s="12">
        <f>Kontenplan!R130</f>
        <v>3</v>
      </c>
      <c r="BB128" s="12">
        <f>Kontenplan!S130</f>
        <v>2</v>
      </c>
      <c r="BC128" s="12">
        <f>Kontenplan!T130</f>
        <v>4</v>
      </c>
      <c r="BD128" s="170">
        <f>Kontenplan!U130</f>
        <v>4</v>
      </c>
      <c r="BF128" s="24">
        <f ca="1">SUM(AP$7:AP128)</f>
        <v>0</v>
      </c>
      <c r="BG128" s="46">
        <f ca="1">SUM(AQ$7:AQ127)</f>
        <v>0</v>
      </c>
      <c r="BH128" s="24">
        <f t="shared" ca="1" si="81"/>
        <v>0</v>
      </c>
      <c r="BI128" s="24"/>
      <c r="BJ128" s="24">
        <f ca="1">SUM(AX$7:AX128)</f>
        <v>0</v>
      </c>
      <c r="BK128" s="24">
        <f ca="1">SUM(AY$7:AY127)</f>
        <v>0</v>
      </c>
      <c r="BL128" s="24">
        <f t="shared" ca="1" si="82"/>
        <v>0</v>
      </c>
      <c r="BN128" s="24">
        <f ca="1">SUM(AB$7:AB128)</f>
        <v>0</v>
      </c>
      <c r="BO128" s="46">
        <f ca="1">SUM(AC$7:AC127)</f>
        <v>0</v>
      </c>
      <c r="BP128" s="24">
        <f t="shared" ca="1" si="83"/>
        <v>0</v>
      </c>
      <c r="BR128" s="24">
        <f ca="1">SUM(AH$7:AH128)</f>
        <v>0</v>
      </c>
      <c r="BS128" s="46">
        <f ca="1">SUM(AI$7:AI127)</f>
        <v>0</v>
      </c>
      <c r="BT128" s="24">
        <f t="shared" ca="1" si="84"/>
        <v>0</v>
      </c>
    </row>
    <row r="129" spans="1:72" s="12" customFormat="1">
      <c r="A129" s="202">
        <f>Kontenplan!C131</f>
        <v>0</v>
      </c>
      <c r="B129" s="224">
        <f>Kontenplan!E131</f>
        <v>0</v>
      </c>
      <c r="C129" s="225">
        <f>Kontenplan!F131</f>
        <v>0</v>
      </c>
      <c r="D129" s="43">
        <f>IF(B129=0,0,SUMIF(Journal!$F$7:$F$83,Calc!B129,Journal!$I$7:$I$83))</f>
        <v>0</v>
      </c>
      <c r="E129" s="15">
        <f>IF(B129=0,0,SUMIF(Journal!$G$7:$M203,Calc!B129,Journal!$I$7:$I$83))</f>
        <v>0</v>
      </c>
      <c r="F129" s="44">
        <f t="shared" si="48"/>
        <v>0</v>
      </c>
      <c r="G129" s="15">
        <f t="shared" si="49"/>
        <v>0</v>
      </c>
      <c r="H129" s="14" t="str">
        <f t="shared" si="50"/>
        <v xml:space="preserve"> </v>
      </c>
      <c r="I129" s="43" t="str">
        <f t="shared" si="51"/>
        <v xml:space="preserve"> </v>
      </c>
      <c r="J129" s="45" t="str">
        <f t="shared" si="52"/>
        <v xml:space="preserve"> </v>
      </c>
      <c r="K129" s="48" t="str">
        <f t="shared" si="53"/>
        <v xml:space="preserve"> </v>
      </c>
      <c r="L129" s="45" t="str">
        <f t="shared" si="54"/>
        <v xml:space="preserve"> </v>
      </c>
      <c r="M129" s="48" t="str">
        <f t="shared" si="55"/>
        <v xml:space="preserve"> </v>
      </c>
      <c r="N129" s="24"/>
      <c r="O129" s="12">
        <f t="shared" si="56"/>
        <v>10.022599999999947</v>
      </c>
      <c r="P129" s="12">
        <f t="shared" si="57"/>
        <v>9.0207999999999515</v>
      </c>
      <c r="Q129" s="12">
        <f t="shared" si="58"/>
        <v>31.014599999999966</v>
      </c>
      <c r="R129" s="12">
        <f t="shared" si="59"/>
        <v>29.008799999999979</v>
      </c>
      <c r="S129" s="12">
        <f t="shared" si="60"/>
        <v>0</v>
      </c>
      <c r="T129" s="12">
        <f t="shared" si="61"/>
        <v>0</v>
      </c>
      <c r="U129" s="43">
        <f>IF(OR(A129=Kontenplan!$C$3,A129=Kontenplan!$C$5),F129-G129,G129-F129)</f>
        <v>0</v>
      </c>
      <c r="V129" s="171">
        <f t="shared" si="44"/>
        <v>123</v>
      </c>
      <c r="W129" s="12">
        <f t="shared" si="45"/>
        <v>96</v>
      </c>
      <c r="X129" s="12">
        <f t="shared" si="46"/>
        <v>98</v>
      </c>
      <c r="Y129" s="12">
        <f>IF(Z129=0,VLOOKUP(W129,Kontenplan!$Y$9:$AA$551,3),"")</f>
        <v>0</v>
      </c>
      <c r="Z129" s="12">
        <f t="shared" si="62"/>
        <v>0</v>
      </c>
      <c r="AA129" s="12" t="str">
        <f t="shared" ca="1" si="63"/>
        <v/>
      </c>
      <c r="AB129" s="46" t="str">
        <f t="shared" ca="1" si="64"/>
        <v/>
      </c>
      <c r="AC129" s="46" t="str">
        <f t="shared" ca="1" si="65"/>
        <v/>
      </c>
      <c r="AD129" s="47"/>
      <c r="AE129" s="12">
        <f>IF(AF129=0,VLOOKUP(X129,Kontenplan!$Z$9:$AB$551,3),"")</f>
        <v>0</v>
      </c>
      <c r="AF129" s="47">
        <f t="shared" si="66"/>
        <v>0</v>
      </c>
      <c r="AG129" s="12" t="str">
        <f t="shared" ca="1" si="67"/>
        <v/>
      </c>
      <c r="AH129" s="46" t="str">
        <f t="shared" ca="1" si="68"/>
        <v/>
      </c>
      <c r="AI129" s="46" t="str">
        <f t="shared" ca="1" si="69"/>
        <v/>
      </c>
      <c r="AJ129" s="46"/>
      <c r="AK129" s="147">
        <f t="shared" ca="1" si="70"/>
        <v>2.0113000000000238</v>
      </c>
      <c r="AL129" s="147">
        <f t="shared" si="71"/>
        <v>2.0116000000000245</v>
      </c>
      <c r="AM129" s="12" t="str">
        <f>IF(V129&lt;=AO$3,VLOOKUP(V129,Kontenplan!$A$9:$D$278,4),"")</f>
        <v/>
      </c>
      <c r="AN129" s="12">
        <f t="shared" si="72"/>
        <v>0</v>
      </c>
      <c r="AO129" s="12" t="str">
        <f t="shared" ca="1" si="73"/>
        <v/>
      </c>
      <c r="AP129" s="46" t="str">
        <f t="shared" ca="1" si="74"/>
        <v/>
      </c>
      <c r="AQ129" s="46" t="str">
        <f t="shared" ca="1" si="75"/>
        <v/>
      </c>
      <c r="AR129" s="46"/>
      <c r="AS129" s="147">
        <f t="shared" ca="1" si="76"/>
        <v>3.0112000000000236</v>
      </c>
      <c r="AT129" s="147">
        <f t="shared" si="77"/>
        <v>2.0117000000000247</v>
      </c>
      <c r="AU129" s="47" t="str">
        <f>IF(V129&lt;=AW$3,VLOOKUP(AO$3+V129,Kontenplan!$A$9:$D$278,4),"")</f>
        <v/>
      </c>
      <c r="AV129" s="12">
        <f t="shared" si="78"/>
        <v>0</v>
      </c>
      <c r="AW129" s="12" t="str">
        <f t="shared" ca="1" si="79"/>
        <v/>
      </c>
      <c r="AX129" s="46" t="str">
        <f t="shared" ca="1" si="47"/>
        <v/>
      </c>
      <c r="AY129" s="46" t="str">
        <f t="shared" ca="1" si="80"/>
        <v/>
      </c>
      <c r="BA129" s="12">
        <f>Kontenplan!R131</f>
        <v>3</v>
      </c>
      <c r="BB129" s="12">
        <f>Kontenplan!S131</f>
        <v>2</v>
      </c>
      <c r="BC129" s="12">
        <f>Kontenplan!T131</f>
        <v>4</v>
      </c>
      <c r="BD129" s="170">
        <f>Kontenplan!U131</f>
        <v>4</v>
      </c>
      <c r="BF129" s="24">
        <f ca="1">SUM(AP$7:AP129)</f>
        <v>0</v>
      </c>
      <c r="BG129" s="46">
        <f ca="1">SUM(AQ$7:AQ128)</f>
        <v>0</v>
      </c>
      <c r="BH129" s="24">
        <f t="shared" ca="1" si="81"/>
        <v>0</v>
      </c>
      <c r="BI129" s="24"/>
      <c r="BJ129" s="24">
        <f ca="1">SUM(AX$7:AX129)</f>
        <v>0</v>
      </c>
      <c r="BK129" s="24">
        <f ca="1">SUM(AY$7:AY128)</f>
        <v>0</v>
      </c>
      <c r="BL129" s="24">
        <f t="shared" ca="1" si="82"/>
        <v>0</v>
      </c>
      <c r="BN129" s="24">
        <f ca="1">SUM(AB$7:AB129)</f>
        <v>0</v>
      </c>
      <c r="BO129" s="46">
        <f ca="1">SUM(AC$7:AC128)</f>
        <v>0</v>
      </c>
      <c r="BP129" s="24">
        <f t="shared" ca="1" si="83"/>
        <v>0</v>
      </c>
      <c r="BR129" s="24">
        <f ca="1">SUM(AH$7:AH129)</f>
        <v>0</v>
      </c>
      <c r="BS129" s="46">
        <f ca="1">SUM(AI$7:AI128)</f>
        <v>0</v>
      </c>
      <c r="BT129" s="24">
        <f t="shared" ca="1" si="84"/>
        <v>0</v>
      </c>
    </row>
    <row r="130" spans="1:72" s="12" customFormat="1">
      <c r="A130" s="202">
        <f>Kontenplan!C132</f>
        <v>0</v>
      </c>
      <c r="B130" s="224">
        <f>Kontenplan!E132</f>
        <v>0</v>
      </c>
      <c r="C130" s="225">
        <f>Kontenplan!F132</f>
        <v>0</v>
      </c>
      <c r="D130" s="43">
        <f>IF(B130=0,0,SUMIF(Journal!$F$7:$F$83,Calc!B130,Journal!$I$7:$I$83))</f>
        <v>0</v>
      </c>
      <c r="E130" s="15">
        <f>IF(B130=0,0,SUMIF(Journal!$G$7:$M204,Calc!B130,Journal!$I$7:$I$83))</f>
        <v>0</v>
      </c>
      <c r="F130" s="44">
        <f t="shared" si="48"/>
        <v>0</v>
      </c>
      <c r="G130" s="15">
        <f t="shared" si="49"/>
        <v>0</v>
      </c>
      <c r="H130" s="14" t="str">
        <f t="shared" si="50"/>
        <v xml:space="preserve"> </v>
      </c>
      <c r="I130" s="43" t="str">
        <f t="shared" si="51"/>
        <v xml:space="preserve"> </v>
      </c>
      <c r="J130" s="45" t="str">
        <f t="shared" si="52"/>
        <v xml:space="preserve"> </v>
      </c>
      <c r="K130" s="48" t="str">
        <f t="shared" si="53"/>
        <v xml:space="preserve"> </v>
      </c>
      <c r="L130" s="45" t="str">
        <f t="shared" si="54"/>
        <v xml:space="preserve"> </v>
      </c>
      <c r="M130" s="48" t="str">
        <f t="shared" si="55"/>
        <v xml:space="preserve"> </v>
      </c>
      <c r="N130" s="24"/>
      <c r="O130" s="12">
        <f t="shared" si="56"/>
        <v>10.022799999999947</v>
      </c>
      <c r="P130" s="12">
        <f t="shared" si="57"/>
        <v>9.0209999999999511</v>
      </c>
      <c r="Q130" s="12">
        <f t="shared" si="58"/>
        <v>31.014799999999966</v>
      </c>
      <c r="R130" s="12">
        <f t="shared" si="59"/>
        <v>29.008999999999979</v>
      </c>
      <c r="S130" s="12">
        <f t="shared" si="60"/>
        <v>0</v>
      </c>
      <c r="T130" s="12">
        <f t="shared" si="61"/>
        <v>0</v>
      </c>
      <c r="U130" s="43">
        <f>IF(OR(A130=Kontenplan!$C$3,A130=Kontenplan!$C$5),F130-G130,G130-F130)</f>
        <v>0</v>
      </c>
      <c r="V130" s="171">
        <f t="shared" si="44"/>
        <v>124</v>
      </c>
      <c r="W130" s="12">
        <f t="shared" si="45"/>
        <v>97</v>
      </c>
      <c r="X130" s="12">
        <f t="shared" si="46"/>
        <v>99</v>
      </c>
      <c r="Y130" s="12">
        <f>IF(Z130=0,VLOOKUP(W130,Kontenplan!$Y$9:$AA$551,3),"")</f>
        <v>0</v>
      </c>
      <c r="Z130" s="12">
        <f t="shared" si="62"/>
        <v>0</v>
      </c>
      <c r="AA130" s="12" t="str">
        <f t="shared" ca="1" si="63"/>
        <v/>
      </c>
      <c r="AB130" s="46" t="str">
        <f t="shared" ca="1" si="64"/>
        <v/>
      </c>
      <c r="AC130" s="46" t="str">
        <f t="shared" ca="1" si="65"/>
        <v/>
      </c>
      <c r="AD130" s="47"/>
      <c r="AE130" s="12">
        <f>IF(AF130=0,VLOOKUP(X130,Kontenplan!$Z$9:$AB$551,3),"")</f>
        <v>0</v>
      </c>
      <c r="AF130" s="47">
        <f t="shared" si="66"/>
        <v>0</v>
      </c>
      <c r="AG130" s="12" t="str">
        <f t="shared" ca="1" si="67"/>
        <v/>
      </c>
      <c r="AH130" s="46" t="str">
        <f t="shared" ca="1" si="68"/>
        <v/>
      </c>
      <c r="AI130" s="46" t="str">
        <f t="shared" ca="1" si="69"/>
        <v/>
      </c>
      <c r="AJ130" s="46"/>
      <c r="AK130" s="147">
        <f t="shared" ca="1" si="70"/>
        <v>2.0114000000000241</v>
      </c>
      <c r="AL130" s="147">
        <f t="shared" si="71"/>
        <v>2.0117000000000247</v>
      </c>
      <c r="AM130" s="12" t="str">
        <f>IF(V130&lt;=AO$3,VLOOKUP(V130,Kontenplan!$A$9:$D$278,4),"")</f>
        <v/>
      </c>
      <c r="AN130" s="12">
        <f t="shared" si="72"/>
        <v>0</v>
      </c>
      <c r="AO130" s="12" t="str">
        <f t="shared" ca="1" si="73"/>
        <v/>
      </c>
      <c r="AP130" s="46" t="str">
        <f t="shared" ca="1" si="74"/>
        <v/>
      </c>
      <c r="AQ130" s="46" t="str">
        <f t="shared" ca="1" si="75"/>
        <v/>
      </c>
      <c r="AR130" s="46"/>
      <c r="AS130" s="147">
        <f t="shared" ca="1" si="76"/>
        <v>3.0113000000000238</v>
      </c>
      <c r="AT130" s="147">
        <f t="shared" si="77"/>
        <v>2.0118000000000249</v>
      </c>
      <c r="AU130" s="47" t="str">
        <f>IF(V130&lt;=AW$3,VLOOKUP(AO$3+V130,Kontenplan!$A$9:$D$278,4),"")</f>
        <v/>
      </c>
      <c r="AV130" s="12">
        <f t="shared" si="78"/>
        <v>0</v>
      </c>
      <c r="AW130" s="12" t="str">
        <f t="shared" ca="1" si="79"/>
        <v/>
      </c>
      <c r="AX130" s="46" t="str">
        <f t="shared" ca="1" si="47"/>
        <v/>
      </c>
      <c r="AY130" s="46" t="str">
        <f t="shared" ca="1" si="80"/>
        <v/>
      </c>
      <c r="BA130" s="12">
        <f>Kontenplan!R132</f>
        <v>3</v>
      </c>
      <c r="BB130" s="12">
        <f>Kontenplan!S132</f>
        <v>2</v>
      </c>
      <c r="BC130" s="12">
        <f>Kontenplan!T132</f>
        <v>4</v>
      </c>
      <c r="BD130" s="170">
        <f>Kontenplan!U132</f>
        <v>4</v>
      </c>
      <c r="BF130" s="24">
        <f ca="1">SUM(AP$7:AP130)</f>
        <v>0</v>
      </c>
      <c r="BG130" s="46">
        <f ca="1">SUM(AQ$7:AQ129)</f>
        <v>0</v>
      </c>
      <c r="BH130" s="24">
        <f t="shared" ca="1" si="81"/>
        <v>0</v>
      </c>
      <c r="BI130" s="24"/>
      <c r="BJ130" s="24">
        <f ca="1">SUM(AX$7:AX130)</f>
        <v>0</v>
      </c>
      <c r="BK130" s="24">
        <f ca="1">SUM(AY$7:AY129)</f>
        <v>0</v>
      </c>
      <c r="BL130" s="24">
        <f t="shared" ca="1" si="82"/>
        <v>0</v>
      </c>
      <c r="BN130" s="24">
        <f ca="1">SUM(AB$7:AB130)</f>
        <v>0</v>
      </c>
      <c r="BO130" s="46">
        <f ca="1">SUM(AC$7:AC129)</f>
        <v>0</v>
      </c>
      <c r="BP130" s="24">
        <f t="shared" ca="1" si="83"/>
        <v>0</v>
      </c>
      <c r="BR130" s="24">
        <f ca="1">SUM(AH$7:AH130)</f>
        <v>0</v>
      </c>
      <c r="BS130" s="46">
        <f ca="1">SUM(AI$7:AI129)</f>
        <v>0</v>
      </c>
      <c r="BT130" s="24">
        <f t="shared" ca="1" si="84"/>
        <v>0</v>
      </c>
    </row>
    <row r="131" spans="1:72" s="12" customFormat="1">
      <c r="A131" s="202">
        <f>Kontenplan!C133</f>
        <v>0</v>
      </c>
      <c r="B131" s="224">
        <f>Kontenplan!E133</f>
        <v>0</v>
      </c>
      <c r="C131" s="225">
        <f>Kontenplan!F133</f>
        <v>0</v>
      </c>
      <c r="D131" s="43">
        <f>IF(B131=0,0,SUMIF(Journal!$F$7:$F$83,Calc!B131,Journal!$I$7:$I$83))</f>
        <v>0</v>
      </c>
      <c r="E131" s="15">
        <f>IF(B131=0,0,SUMIF(Journal!$G$7:$M205,Calc!B131,Journal!$I$7:$I$83))</f>
        <v>0</v>
      </c>
      <c r="F131" s="44">
        <f t="shared" si="48"/>
        <v>0</v>
      </c>
      <c r="G131" s="15">
        <f t="shared" si="49"/>
        <v>0</v>
      </c>
      <c r="H131" s="14" t="str">
        <f t="shared" si="50"/>
        <v xml:space="preserve"> </v>
      </c>
      <c r="I131" s="43" t="str">
        <f t="shared" si="51"/>
        <v xml:space="preserve"> </v>
      </c>
      <c r="J131" s="45" t="str">
        <f t="shared" si="52"/>
        <v xml:space="preserve"> </v>
      </c>
      <c r="K131" s="48" t="str">
        <f t="shared" si="53"/>
        <v xml:space="preserve"> </v>
      </c>
      <c r="L131" s="45" t="str">
        <f t="shared" si="54"/>
        <v xml:space="preserve"> </v>
      </c>
      <c r="M131" s="48" t="str">
        <f t="shared" si="55"/>
        <v xml:space="preserve"> </v>
      </c>
      <c r="N131" s="24"/>
      <c r="O131" s="12">
        <f t="shared" si="56"/>
        <v>10.022999999999946</v>
      </c>
      <c r="P131" s="12">
        <f t="shared" si="57"/>
        <v>9.0211999999999506</v>
      </c>
      <c r="Q131" s="12">
        <f t="shared" si="58"/>
        <v>31.014999999999965</v>
      </c>
      <c r="R131" s="12">
        <f t="shared" si="59"/>
        <v>29.009199999999979</v>
      </c>
      <c r="S131" s="12">
        <f t="shared" si="60"/>
        <v>0</v>
      </c>
      <c r="T131" s="12">
        <f t="shared" si="61"/>
        <v>0</v>
      </c>
      <c r="U131" s="43">
        <f>IF(OR(A131=Kontenplan!$C$3,A131=Kontenplan!$C$5),F131-G131,G131-F131)</f>
        <v>0</v>
      </c>
      <c r="V131" s="171">
        <f t="shared" si="44"/>
        <v>125</v>
      </c>
      <c r="W131" s="12">
        <f t="shared" si="45"/>
        <v>98</v>
      </c>
      <c r="X131" s="12">
        <f t="shared" si="46"/>
        <v>100</v>
      </c>
      <c r="Y131" s="12">
        <f>IF(Z131=0,VLOOKUP(W131,Kontenplan!$Y$9:$AA$551,3),"")</f>
        <v>0</v>
      </c>
      <c r="Z131" s="12">
        <f t="shared" si="62"/>
        <v>0</v>
      </c>
      <c r="AA131" s="12" t="str">
        <f t="shared" ca="1" si="63"/>
        <v/>
      </c>
      <c r="AB131" s="46" t="str">
        <f t="shared" ca="1" si="64"/>
        <v/>
      </c>
      <c r="AC131" s="46" t="str">
        <f t="shared" ca="1" si="65"/>
        <v/>
      </c>
      <c r="AD131" s="47"/>
      <c r="AE131" s="12">
        <f>IF(AF131=0,VLOOKUP(X131,Kontenplan!$Z$9:$AB$551,3),"")</f>
        <v>0</v>
      </c>
      <c r="AF131" s="47">
        <f t="shared" si="66"/>
        <v>0</v>
      </c>
      <c r="AG131" s="12" t="str">
        <f t="shared" ca="1" si="67"/>
        <v/>
      </c>
      <c r="AH131" s="46" t="str">
        <f t="shared" ca="1" si="68"/>
        <v/>
      </c>
      <c r="AI131" s="46" t="str">
        <f t="shared" ca="1" si="69"/>
        <v/>
      </c>
      <c r="AJ131" s="46"/>
      <c r="AK131" s="147">
        <f t="shared" ca="1" si="70"/>
        <v>2.0115000000000243</v>
      </c>
      <c r="AL131" s="147">
        <f t="shared" si="71"/>
        <v>2.0118000000000249</v>
      </c>
      <c r="AM131" s="12" t="str">
        <f>IF(V131&lt;=AO$3,VLOOKUP(V131,Kontenplan!$A$9:$D$278,4),"")</f>
        <v/>
      </c>
      <c r="AN131" s="12">
        <f t="shared" si="72"/>
        <v>0</v>
      </c>
      <c r="AO131" s="12" t="str">
        <f t="shared" ca="1" si="73"/>
        <v/>
      </c>
      <c r="AP131" s="46" t="str">
        <f t="shared" ca="1" si="74"/>
        <v/>
      </c>
      <c r="AQ131" s="46" t="str">
        <f t="shared" ca="1" si="75"/>
        <v/>
      </c>
      <c r="AR131" s="46"/>
      <c r="AS131" s="147">
        <f t="shared" ca="1" si="76"/>
        <v>3.0114000000000241</v>
      </c>
      <c r="AT131" s="147">
        <f t="shared" si="77"/>
        <v>2.0119000000000251</v>
      </c>
      <c r="AU131" s="47" t="str">
        <f>IF(V131&lt;=AW$3,VLOOKUP(AO$3+V131,Kontenplan!$A$9:$D$278,4),"")</f>
        <v/>
      </c>
      <c r="AV131" s="12">
        <f t="shared" si="78"/>
        <v>0</v>
      </c>
      <c r="AW131" s="12" t="str">
        <f t="shared" ca="1" si="79"/>
        <v/>
      </c>
      <c r="AX131" s="46" t="str">
        <f t="shared" ca="1" si="47"/>
        <v/>
      </c>
      <c r="AY131" s="46" t="str">
        <f t="shared" ca="1" si="80"/>
        <v/>
      </c>
      <c r="BA131" s="12">
        <f>Kontenplan!R133</f>
        <v>3</v>
      </c>
      <c r="BB131" s="12">
        <f>Kontenplan!S133</f>
        <v>2</v>
      </c>
      <c r="BC131" s="12">
        <f>Kontenplan!T133</f>
        <v>4</v>
      </c>
      <c r="BD131" s="170">
        <f>Kontenplan!U133</f>
        <v>4</v>
      </c>
      <c r="BF131" s="24">
        <f ca="1">SUM(AP$7:AP131)</f>
        <v>0</v>
      </c>
      <c r="BG131" s="46">
        <f ca="1">SUM(AQ$7:AQ130)</f>
        <v>0</v>
      </c>
      <c r="BH131" s="24">
        <f t="shared" ca="1" si="81"/>
        <v>0</v>
      </c>
      <c r="BI131" s="24"/>
      <c r="BJ131" s="24">
        <f ca="1">SUM(AX$7:AX131)</f>
        <v>0</v>
      </c>
      <c r="BK131" s="24">
        <f ca="1">SUM(AY$7:AY130)</f>
        <v>0</v>
      </c>
      <c r="BL131" s="24">
        <f t="shared" ca="1" si="82"/>
        <v>0</v>
      </c>
      <c r="BN131" s="24">
        <f ca="1">SUM(AB$7:AB131)</f>
        <v>0</v>
      </c>
      <c r="BO131" s="46">
        <f ca="1">SUM(AC$7:AC130)</f>
        <v>0</v>
      </c>
      <c r="BP131" s="24">
        <f t="shared" ca="1" si="83"/>
        <v>0</v>
      </c>
      <c r="BR131" s="24">
        <f ca="1">SUM(AH$7:AH131)</f>
        <v>0</v>
      </c>
      <c r="BS131" s="46">
        <f ca="1">SUM(AI$7:AI130)</f>
        <v>0</v>
      </c>
      <c r="BT131" s="24">
        <f t="shared" ca="1" si="84"/>
        <v>0</v>
      </c>
    </row>
    <row r="132" spans="1:72" s="12" customFormat="1">
      <c r="A132" s="202">
        <f>Kontenplan!C134</f>
        <v>0</v>
      </c>
      <c r="B132" s="224">
        <f>Kontenplan!E134</f>
        <v>0</v>
      </c>
      <c r="C132" s="225">
        <f>Kontenplan!F134</f>
        <v>0</v>
      </c>
      <c r="D132" s="43">
        <f>IF(B132=0,0,SUMIF(Journal!$F$7:$F$83,Calc!B132,Journal!$I$7:$I$83))</f>
        <v>0</v>
      </c>
      <c r="E132" s="15">
        <f>IF(B132=0,0,SUMIF(Journal!$G$7:$M206,Calc!B132,Journal!$I$7:$I$83))</f>
        <v>0</v>
      </c>
      <c r="F132" s="44">
        <f t="shared" si="48"/>
        <v>0</v>
      </c>
      <c r="G132" s="15">
        <f t="shared" si="49"/>
        <v>0</v>
      </c>
      <c r="H132" s="14" t="str">
        <f t="shared" si="50"/>
        <v xml:space="preserve"> </v>
      </c>
      <c r="I132" s="43" t="str">
        <f t="shared" si="51"/>
        <v xml:space="preserve"> </v>
      </c>
      <c r="J132" s="45" t="str">
        <f t="shared" si="52"/>
        <v xml:space="preserve"> </v>
      </c>
      <c r="K132" s="48" t="str">
        <f t="shared" si="53"/>
        <v xml:space="preserve"> </v>
      </c>
      <c r="L132" s="45" t="str">
        <f t="shared" si="54"/>
        <v xml:space="preserve"> </v>
      </c>
      <c r="M132" s="48" t="str">
        <f t="shared" si="55"/>
        <v xml:space="preserve"> </v>
      </c>
      <c r="N132" s="24"/>
      <c r="O132" s="12">
        <f t="shared" si="56"/>
        <v>10.023199999999946</v>
      </c>
      <c r="P132" s="12">
        <f t="shared" si="57"/>
        <v>9.0213999999999501</v>
      </c>
      <c r="Q132" s="12">
        <f t="shared" si="58"/>
        <v>31.015199999999965</v>
      </c>
      <c r="R132" s="12">
        <f t="shared" si="59"/>
        <v>29.009399999999978</v>
      </c>
      <c r="S132" s="12">
        <f t="shared" si="60"/>
        <v>0</v>
      </c>
      <c r="T132" s="12">
        <f t="shared" si="61"/>
        <v>0</v>
      </c>
      <c r="U132" s="43">
        <f>IF(OR(A132=Kontenplan!$C$3,A132=Kontenplan!$C$5),F132-G132,G132-F132)</f>
        <v>0</v>
      </c>
      <c r="V132" s="171">
        <f t="shared" si="44"/>
        <v>126</v>
      </c>
      <c r="W132" s="12">
        <f t="shared" si="45"/>
        <v>99</v>
      </c>
      <c r="X132" s="12">
        <f t="shared" si="46"/>
        <v>101</v>
      </c>
      <c r="Y132" s="12">
        <f>IF(Z132=0,VLOOKUP(W132,Kontenplan!$Y$9:$AA$551,3),"")</f>
        <v>0</v>
      </c>
      <c r="Z132" s="12">
        <f t="shared" si="62"/>
        <v>0</v>
      </c>
      <c r="AA132" s="12" t="str">
        <f t="shared" ca="1" si="63"/>
        <v/>
      </c>
      <c r="AB132" s="46" t="str">
        <f t="shared" ca="1" si="64"/>
        <v/>
      </c>
      <c r="AC132" s="46" t="str">
        <f t="shared" ca="1" si="65"/>
        <v/>
      </c>
      <c r="AD132" s="47"/>
      <c r="AE132" s="12">
        <f>IF(AF132=0,VLOOKUP(X132,Kontenplan!$Z$9:$AB$551,3),"")</f>
        <v>0</v>
      </c>
      <c r="AF132" s="47">
        <f t="shared" si="66"/>
        <v>0</v>
      </c>
      <c r="AG132" s="12" t="str">
        <f t="shared" ca="1" si="67"/>
        <v/>
      </c>
      <c r="AH132" s="46" t="str">
        <f t="shared" ca="1" si="68"/>
        <v/>
      </c>
      <c r="AI132" s="46" t="str">
        <f t="shared" ca="1" si="69"/>
        <v/>
      </c>
      <c r="AJ132" s="46"/>
      <c r="AK132" s="147">
        <f t="shared" ca="1" si="70"/>
        <v>2.0116000000000245</v>
      </c>
      <c r="AL132" s="147">
        <f t="shared" si="71"/>
        <v>2.0119000000000251</v>
      </c>
      <c r="AM132" s="12" t="str">
        <f>IF(V132&lt;=AO$3,VLOOKUP(V132,Kontenplan!$A$9:$D$278,4),"")</f>
        <v/>
      </c>
      <c r="AN132" s="12">
        <f t="shared" si="72"/>
        <v>0</v>
      </c>
      <c r="AO132" s="12" t="str">
        <f t="shared" ca="1" si="73"/>
        <v/>
      </c>
      <c r="AP132" s="46" t="str">
        <f t="shared" ca="1" si="74"/>
        <v/>
      </c>
      <c r="AQ132" s="46" t="str">
        <f t="shared" ca="1" si="75"/>
        <v/>
      </c>
      <c r="AR132" s="46"/>
      <c r="AS132" s="147">
        <f t="shared" ca="1" si="76"/>
        <v>3.0115000000000243</v>
      </c>
      <c r="AT132" s="147">
        <f t="shared" si="77"/>
        <v>2.0120000000000253</v>
      </c>
      <c r="AU132" s="47" t="str">
        <f>IF(V132&lt;=AW$3,VLOOKUP(AO$3+V132,Kontenplan!$A$9:$D$278,4),"")</f>
        <v/>
      </c>
      <c r="AV132" s="12">
        <f t="shared" si="78"/>
        <v>0</v>
      </c>
      <c r="AW132" s="12" t="str">
        <f t="shared" ca="1" si="79"/>
        <v/>
      </c>
      <c r="AX132" s="46" t="str">
        <f t="shared" ca="1" si="47"/>
        <v/>
      </c>
      <c r="AY132" s="46" t="str">
        <f t="shared" ca="1" si="80"/>
        <v/>
      </c>
      <c r="BA132" s="12">
        <f>Kontenplan!R134</f>
        <v>3</v>
      </c>
      <c r="BB132" s="12">
        <f>Kontenplan!S134</f>
        <v>2</v>
      </c>
      <c r="BC132" s="12">
        <f>Kontenplan!T134</f>
        <v>4</v>
      </c>
      <c r="BD132" s="170">
        <f>Kontenplan!U134</f>
        <v>4</v>
      </c>
      <c r="BF132" s="24">
        <f ca="1">SUM(AP$7:AP132)</f>
        <v>0</v>
      </c>
      <c r="BG132" s="46">
        <f ca="1">SUM(AQ$7:AQ131)</f>
        <v>0</v>
      </c>
      <c r="BH132" s="24">
        <f t="shared" ca="1" si="81"/>
        <v>0</v>
      </c>
      <c r="BI132" s="24"/>
      <c r="BJ132" s="24">
        <f ca="1">SUM(AX$7:AX132)</f>
        <v>0</v>
      </c>
      <c r="BK132" s="24">
        <f ca="1">SUM(AY$7:AY131)</f>
        <v>0</v>
      </c>
      <c r="BL132" s="24">
        <f t="shared" ca="1" si="82"/>
        <v>0</v>
      </c>
      <c r="BN132" s="24">
        <f ca="1">SUM(AB$7:AB132)</f>
        <v>0</v>
      </c>
      <c r="BO132" s="46">
        <f ca="1">SUM(AC$7:AC131)</f>
        <v>0</v>
      </c>
      <c r="BP132" s="24">
        <f t="shared" ca="1" si="83"/>
        <v>0</v>
      </c>
      <c r="BR132" s="24">
        <f ca="1">SUM(AH$7:AH132)</f>
        <v>0</v>
      </c>
      <c r="BS132" s="46">
        <f ca="1">SUM(AI$7:AI131)</f>
        <v>0</v>
      </c>
      <c r="BT132" s="24">
        <f t="shared" ca="1" si="84"/>
        <v>0</v>
      </c>
    </row>
    <row r="133" spans="1:72" s="12" customFormat="1">
      <c r="A133" s="202">
        <f>Kontenplan!C135</f>
        <v>0</v>
      </c>
      <c r="B133" s="224">
        <f>Kontenplan!E135</f>
        <v>0</v>
      </c>
      <c r="C133" s="225">
        <f>Kontenplan!F135</f>
        <v>0</v>
      </c>
      <c r="D133" s="43">
        <f>IF(B133=0,0,SUMIF(Journal!$F$7:$F$83,Calc!B133,Journal!$I$7:$I$83))</f>
        <v>0</v>
      </c>
      <c r="E133" s="15">
        <f>IF(B133=0,0,SUMIF(Journal!$G$7:$M207,Calc!B133,Journal!$I$7:$I$83))</f>
        <v>0</v>
      </c>
      <c r="F133" s="44">
        <f t="shared" si="48"/>
        <v>0</v>
      </c>
      <c r="G133" s="15">
        <f t="shared" si="49"/>
        <v>0</v>
      </c>
      <c r="H133" s="14" t="str">
        <f t="shared" si="50"/>
        <v xml:space="preserve"> </v>
      </c>
      <c r="I133" s="43" t="str">
        <f t="shared" si="51"/>
        <v xml:space="preserve"> </v>
      </c>
      <c r="J133" s="45" t="str">
        <f t="shared" si="52"/>
        <v xml:space="preserve"> </v>
      </c>
      <c r="K133" s="48" t="str">
        <f t="shared" si="53"/>
        <v xml:space="preserve"> </v>
      </c>
      <c r="L133" s="45" t="str">
        <f t="shared" si="54"/>
        <v xml:space="preserve"> </v>
      </c>
      <c r="M133" s="48" t="str">
        <f t="shared" si="55"/>
        <v xml:space="preserve"> </v>
      </c>
      <c r="N133" s="24"/>
      <c r="O133" s="12">
        <f t="shared" si="56"/>
        <v>10.023399999999945</v>
      </c>
      <c r="P133" s="12">
        <f t="shared" si="57"/>
        <v>9.0215999999999497</v>
      </c>
      <c r="Q133" s="12">
        <f t="shared" si="58"/>
        <v>31.015399999999964</v>
      </c>
      <c r="R133" s="12">
        <f t="shared" si="59"/>
        <v>29.009599999999978</v>
      </c>
      <c r="S133" s="12">
        <f t="shared" si="60"/>
        <v>0</v>
      </c>
      <c r="T133" s="12">
        <f t="shared" si="61"/>
        <v>0</v>
      </c>
      <c r="U133" s="43">
        <f>IF(OR(A133=Kontenplan!$C$3,A133=Kontenplan!$C$5),F133-G133,G133-F133)</f>
        <v>0</v>
      </c>
      <c r="V133" s="171">
        <f t="shared" si="44"/>
        <v>127</v>
      </c>
      <c r="W133" s="12">
        <f t="shared" si="45"/>
        <v>100</v>
      </c>
      <c r="X133" s="12">
        <f t="shared" si="46"/>
        <v>102</v>
      </c>
      <c r="Y133" s="12">
        <f>IF(Z133=0,VLOOKUP(W133,Kontenplan!$Y$9:$AA$551,3),"")</f>
        <v>0</v>
      </c>
      <c r="Z133" s="12">
        <f t="shared" si="62"/>
        <v>0</v>
      </c>
      <c r="AA133" s="12" t="str">
        <f t="shared" ca="1" si="63"/>
        <v/>
      </c>
      <c r="AB133" s="46" t="str">
        <f t="shared" ca="1" si="64"/>
        <v/>
      </c>
      <c r="AC133" s="46" t="str">
        <f t="shared" ca="1" si="65"/>
        <v/>
      </c>
      <c r="AD133" s="47"/>
      <c r="AE133" s="12">
        <f>IF(AF133=0,VLOOKUP(X133,Kontenplan!$Z$9:$AB$551,3),"")</f>
        <v>0</v>
      </c>
      <c r="AF133" s="47">
        <f t="shared" si="66"/>
        <v>0</v>
      </c>
      <c r="AG133" s="12" t="str">
        <f t="shared" ca="1" si="67"/>
        <v/>
      </c>
      <c r="AH133" s="46" t="str">
        <f t="shared" ca="1" si="68"/>
        <v/>
      </c>
      <c r="AI133" s="46" t="str">
        <f t="shared" ca="1" si="69"/>
        <v/>
      </c>
      <c r="AJ133" s="46"/>
      <c r="AK133" s="147">
        <f t="shared" ca="1" si="70"/>
        <v>2.0117000000000247</v>
      </c>
      <c r="AL133" s="147">
        <f t="shared" si="71"/>
        <v>2.0120000000000253</v>
      </c>
      <c r="AM133" s="12" t="str">
        <f>IF(V133&lt;=AO$3,VLOOKUP(V133,Kontenplan!$A$9:$D$278,4),"")</f>
        <v/>
      </c>
      <c r="AN133" s="12">
        <f t="shared" si="72"/>
        <v>0</v>
      </c>
      <c r="AO133" s="12" t="str">
        <f t="shared" ca="1" si="73"/>
        <v/>
      </c>
      <c r="AP133" s="46" t="str">
        <f t="shared" ca="1" si="74"/>
        <v/>
      </c>
      <c r="AQ133" s="46" t="str">
        <f t="shared" ca="1" si="75"/>
        <v/>
      </c>
      <c r="AR133" s="46"/>
      <c r="AS133" s="147">
        <f t="shared" ca="1" si="76"/>
        <v>3.0116000000000245</v>
      </c>
      <c r="AT133" s="147">
        <f t="shared" si="77"/>
        <v>2.0121000000000255</v>
      </c>
      <c r="AU133" s="47" t="str">
        <f>IF(V133&lt;=AW$3,VLOOKUP(AO$3+V133,Kontenplan!$A$9:$D$278,4),"")</f>
        <v/>
      </c>
      <c r="AV133" s="12">
        <f t="shared" si="78"/>
        <v>0</v>
      </c>
      <c r="AW133" s="12" t="str">
        <f t="shared" ca="1" si="79"/>
        <v/>
      </c>
      <c r="AX133" s="46" t="str">
        <f t="shared" ca="1" si="47"/>
        <v/>
      </c>
      <c r="AY133" s="46" t="str">
        <f t="shared" ca="1" si="80"/>
        <v/>
      </c>
      <c r="BA133" s="12">
        <f>Kontenplan!R135</f>
        <v>3</v>
      </c>
      <c r="BB133" s="12">
        <f>Kontenplan!S135</f>
        <v>2</v>
      </c>
      <c r="BC133" s="12">
        <f>Kontenplan!T135</f>
        <v>4</v>
      </c>
      <c r="BD133" s="170">
        <f>Kontenplan!U135</f>
        <v>4</v>
      </c>
      <c r="BF133" s="24">
        <f ca="1">SUM(AP$7:AP133)</f>
        <v>0</v>
      </c>
      <c r="BG133" s="46">
        <f ca="1">SUM(AQ$7:AQ132)</f>
        <v>0</v>
      </c>
      <c r="BH133" s="24">
        <f t="shared" ca="1" si="81"/>
        <v>0</v>
      </c>
      <c r="BI133" s="24"/>
      <c r="BJ133" s="24">
        <f ca="1">SUM(AX$7:AX133)</f>
        <v>0</v>
      </c>
      <c r="BK133" s="24">
        <f ca="1">SUM(AY$7:AY132)</f>
        <v>0</v>
      </c>
      <c r="BL133" s="24">
        <f t="shared" ca="1" si="82"/>
        <v>0</v>
      </c>
      <c r="BN133" s="24">
        <f ca="1">SUM(AB$7:AB133)</f>
        <v>0</v>
      </c>
      <c r="BO133" s="46">
        <f ca="1">SUM(AC$7:AC132)</f>
        <v>0</v>
      </c>
      <c r="BP133" s="24">
        <f t="shared" ca="1" si="83"/>
        <v>0</v>
      </c>
      <c r="BR133" s="24">
        <f ca="1">SUM(AH$7:AH133)</f>
        <v>0</v>
      </c>
      <c r="BS133" s="46">
        <f ca="1">SUM(AI$7:AI132)</f>
        <v>0</v>
      </c>
      <c r="BT133" s="24">
        <f t="shared" ca="1" si="84"/>
        <v>0</v>
      </c>
    </row>
    <row r="134" spans="1:72" s="12" customFormat="1">
      <c r="A134" s="202">
        <f>Kontenplan!C136</f>
        <v>0</v>
      </c>
      <c r="B134" s="224">
        <f>Kontenplan!E136</f>
        <v>0</v>
      </c>
      <c r="C134" s="225">
        <f>Kontenplan!F136</f>
        <v>0</v>
      </c>
      <c r="D134" s="43">
        <f>IF(B134=0,0,SUMIF(Journal!$F$7:$F$83,Calc!B134,Journal!$I$7:$I$83))</f>
        <v>0</v>
      </c>
      <c r="E134" s="15">
        <f>IF(B134=0,0,SUMIF(Journal!$G$7:$M208,Calc!B134,Journal!$I$7:$I$83))</f>
        <v>0</v>
      </c>
      <c r="F134" s="44">
        <f t="shared" si="48"/>
        <v>0</v>
      </c>
      <c r="G134" s="15">
        <f t="shared" si="49"/>
        <v>0</v>
      </c>
      <c r="H134" s="14" t="str">
        <f t="shared" si="50"/>
        <v xml:space="preserve"> </v>
      </c>
      <c r="I134" s="43" t="str">
        <f t="shared" si="51"/>
        <v xml:space="preserve"> </v>
      </c>
      <c r="J134" s="45" t="str">
        <f t="shared" si="52"/>
        <v xml:space="preserve"> </v>
      </c>
      <c r="K134" s="48" t="str">
        <f t="shared" si="53"/>
        <v xml:space="preserve"> </v>
      </c>
      <c r="L134" s="45" t="str">
        <f t="shared" si="54"/>
        <v xml:space="preserve"> </v>
      </c>
      <c r="M134" s="48" t="str">
        <f t="shared" si="55"/>
        <v xml:space="preserve"> </v>
      </c>
      <c r="N134" s="24"/>
      <c r="O134" s="12">
        <f t="shared" si="56"/>
        <v>10.023599999999945</v>
      </c>
      <c r="P134" s="12">
        <f t="shared" si="57"/>
        <v>9.0217999999999492</v>
      </c>
      <c r="Q134" s="12">
        <f t="shared" si="58"/>
        <v>31.015599999999964</v>
      </c>
      <c r="R134" s="12">
        <f t="shared" si="59"/>
        <v>29.009799999999977</v>
      </c>
      <c r="S134" s="12">
        <f t="shared" si="60"/>
        <v>0</v>
      </c>
      <c r="T134" s="12">
        <f t="shared" si="61"/>
        <v>0</v>
      </c>
      <c r="U134" s="43">
        <f>IF(OR(A134=Kontenplan!$C$3,A134=Kontenplan!$C$5),F134-G134,G134-F134)</f>
        <v>0</v>
      </c>
      <c r="V134" s="171">
        <f t="shared" si="44"/>
        <v>128</v>
      </c>
      <c r="W134" s="12">
        <f t="shared" si="45"/>
        <v>101</v>
      </c>
      <c r="X134" s="12">
        <f t="shared" si="46"/>
        <v>103</v>
      </c>
      <c r="Y134" s="12">
        <f>IF(Z134=0,VLOOKUP(W134,Kontenplan!$Y$9:$AA$551,3),"")</f>
        <v>0</v>
      </c>
      <c r="Z134" s="12">
        <f t="shared" si="62"/>
        <v>0</v>
      </c>
      <c r="AA134" s="12" t="str">
        <f t="shared" ca="1" si="63"/>
        <v/>
      </c>
      <c r="AB134" s="46" t="str">
        <f t="shared" ca="1" si="64"/>
        <v/>
      </c>
      <c r="AC134" s="46" t="str">
        <f t="shared" ca="1" si="65"/>
        <v/>
      </c>
      <c r="AD134" s="47"/>
      <c r="AE134" s="12">
        <f>IF(AF134=0,VLOOKUP(X134,Kontenplan!$Z$9:$AB$551,3),"")</f>
        <v>0</v>
      </c>
      <c r="AF134" s="47">
        <f t="shared" si="66"/>
        <v>0</v>
      </c>
      <c r="AG134" s="12" t="str">
        <f t="shared" ca="1" si="67"/>
        <v/>
      </c>
      <c r="AH134" s="46" t="str">
        <f t="shared" ca="1" si="68"/>
        <v/>
      </c>
      <c r="AI134" s="46" t="str">
        <f t="shared" ca="1" si="69"/>
        <v/>
      </c>
      <c r="AJ134" s="46"/>
      <c r="AK134" s="147">
        <f t="shared" ca="1" si="70"/>
        <v>2.0118000000000249</v>
      </c>
      <c r="AL134" s="147">
        <f t="shared" si="71"/>
        <v>2.0121000000000255</v>
      </c>
      <c r="AM134" s="12" t="str">
        <f>IF(V134&lt;=AO$3,VLOOKUP(V134,Kontenplan!$A$9:$D$278,4),"")</f>
        <v/>
      </c>
      <c r="AN134" s="12">
        <f t="shared" si="72"/>
        <v>0</v>
      </c>
      <c r="AO134" s="12" t="str">
        <f t="shared" ca="1" si="73"/>
        <v/>
      </c>
      <c r="AP134" s="46" t="str">
        <f t="shared" ca="1" si="74"/>
        <v/>
      </c>
      <c r="AQ134" s="46" t="str">
        <f t="shared" ca="1" si="75"/>
        <v/>
      </c>
      <c r="AR134" s="46"/>
      <c r="AS134" s="147">
        <f t="shared" ca="1" si="76"/>
        <v>3.0117000000000247</v>
      </c>
      <c r="AT134" s="147">
        <f t="shared" si="77"/>
        <v>2.0122000000000257</v>
      </c>
      <c r="AU134" s="47" t="str">
        <f>IF(V134&lt;=AW$3,VLOOKUP(AO$3+V134,Kontenplan!$A$9:$D$278,4),"")</f>
        <v/>
      </c>
      <c r="AV134" s="12">
        <f t="shared" si="78"/>
        <v>0</v>
      </c>
      <c r="AW134" s="12" t="str">
        <f t="shared" ca="1" si="79"/>
        <v/>
      </c>
      <c r="AX134" s="46" t="str">
        <f t="shared" ca="1" si="47"/>
        <v/>
      </c>
      <c r="AY134" s="46" t="str">
        <f t="shared" ca="1" si="80"/>
        <v/>
      </c>
      <c r="BA134" s="12">
        <f>Kontenplan!R136</f>
        <v>3</v>
      </c>
      <c r="BB134" s="12">
        <f>Kontenplan!S136</f>
        <v>2</v>
      </c>
      <c r="BC134" s="12">
        <f>Kontenplan!T136</f>
        <v>4</v>
      </c>
      <c r="BD134" s="170">
        <f>Kontenplan!U136</f>
        <v>4</v>
      </c>
      <c r="BF134" s="24">
        <f ca="1">SUM(AP$7:AP134)</f>
        <v>0</v>
      </c>
      <c r="BG134" s="46">
        <f ca="1">SUM(AQ$7:AQ133)</f>
        <v>0</v>
      </c>
      <c r="BH134" s="24">
        <f t="shared" ca="1" si="81"/>
        <v>0</v>
      </c>
      <c r="BI134" s="24"/>
      <c r="BJ134" s="24">
        <f ca="1">SUM(AX$7:AX134)</f>
        <v>0</v>
      </c>
      <c r="BK134" s="24">
        <f ca="1">SUM(AY$7:AY133)</f>
        <v>0</v>
      </c>
      <c r="BL134" s="24">
        <f t="shared" ca="1" si="82"/>
        <v>0</v>
      </c>
      <c r="BN134" s="24">
        <f ca="1">SUM(AB$7:AB134)</f>
        <v>0</v>
      </c>
      <c r="BO134" s="46">
        <f ca="1">SUM(AC$7:AC133)</f>
        <v>0</v>
      </c>
      <c r="BP134" s="24">
        <f t="shared" ca="1" si="83"/>
        <v>0</v>
      </c>
      <c r="BR134" s="24">
        <f ca="1">SUM(AH$7:AH134)</f>
        <v>0</v>
      </c>
      <c r="BS134" s="46">
        <f ca="1">SUM(AI$7:AI133)</f>
        <v>0</v>
      </c>
      <c r="BT134" s="24">
        <f t="shared" ca="1" si="84"/>
        <v>0</v>
      </c>
    </row>
    <row r="135" spans="1:72" s="12" customFormat="1">
      <c r="A135" s="202">
        <f>Kontenplan!C137</f>
        <v>0</v>
      </c>
      <c r="B135" s="224">
        <f>Kontenplan!E137</f>
        <v>0</v>
      </c>
      <c r="C135" s="225">
        <f>Kontenplan!F137</f>
        <v>0</v>
      </c>
      <c r="D135" s="43">
        <f>IF(B135=0,0,SUMIF(Journal!$F$7:$F$83,Calc!B135,Journal!$I$7:$I$83))</f>
        <v>0</v>
      </c>
      <c r="E135" s="15">
        <f>IF(B135=0,0,SUMIF(Journal!$G$7:$M209,Calc!B135,Journal!$I$7:$I$83))</f>
        <v>0</v>
      </c>
      <c r="F135" s="44">
        <f t="shared" si="48"/>
        <v>0</v>
      </c>
      <c r="G135" s="15">
        <f t="shared" si="49"/>
        <v>0</v>
      </c>
      <c r="H135" s="14" t="str">
        <f t="shared" si="50"/>
        <v xml:space="preserve"> </v>
      </c>
      <c r="I135" s="43" t="str">
        <f t="shared" si="51"/>
        <v xml:space="preserve"> </v>
      </c>
      <c r="J135" s="45" t="str">
        <f t="shared" si="52"/>
        <v xml:space="preserve"> </v>
      </c>
      <c r="K135" s="48" t="str">
        <f t="shared" si="53"/>
        <v xml:space="preserve"> </v>
      </c>
      <c r="L135" s="45" t="str">
        <f t="shared" si="54"/>
        <v xml:space="preserve"> </v>
      </c>
      <c r="M135" s="48" t="str">
        <f t="shared" si="55"/>
        <v xml:space="preserve"> </v>
      </c>
      <c r="N135" s="24"/>
      <c r="O135" s="12">
        <f t="shared" si="56"/>
        <v>10.023799999999945</v>
      </c>
      <c r="P135" s="12">
        <f t="shared" si="57"/>
        <v>9.0219999999999487</v>
      </c>
      <c r="Q135" s="12">
        <f t="shared" si="58"/>
        <v>31.015799999999963</v>
      </c>
      <c r="R135" s="12">
        <f t="shared" si="59"/>
        <v>29.009999999999977</v>
      </c>
      <c r="S135" s="12">
        <f t="shared" si="60"/>
        <v>0</v>
      </c>
      <c r="T135" s="12">
        <f t="shared" si="61"/>
        <v>0</v>
      </c>
      <c r="U135" s="43">
        <f>IF(OR(A135=Kontenplan!$C$3,A135=Kontenplan!$C$5),F135-G135,G135-F135)</f>
        <v>0</v>
      </c>
      <c r="V135" s="171">
        <f t="shared" ref="V135:V198" si="85">V134+1</f>
        <v>129</v>
      </c>
      <c r="W135" s="12">
        <f t="shared" si="45"/>
        <v>102</v>
      </c>
      <c r="X135" s="12">
        <f t="shared" si="46"/>
        <v>104</v>
      </c>
      <c r="Y135" s="12">
        <f>IF(Z135=0,VLOOKUP(W135,Kontenplan!$Y$9:$AA$551,3),"")</f>
        <v>0</v>
      </c>
      <c r="Z135" s="12">
        <f t="shared" si="62"/>
        <v>0</v>
      </c>
      <c r="AA135" s="12" t="str">
        <f t="shared" ca="1" si="63"/>
        <v/>
      </c>
      <c r="AB135" s="46" t="str">
        <f t="shared" ca="1" si="64"/>
        <v/>
      </c>
      <c r="AC135" s="46" t="str">
        <f t="shared" ca="1" si="65"/>
        <v/>
      </c>
      <c r="AD135" s="47"/>
      <c r="AE135" s="12">
        <f>IF(AF135=0,VLOOKUP(X135,Kontenplan!$Z$9:$AB$551,3),"")</f>
        <v>0</v>
      </c>
      <c r="AF135" s="47">
        <f t="shared" si="66"/>
        <v>0</v>
      </c>
      <c r="AG135" s="12" t="str">
        <f t="shared" ca="1" si="67"/>
        <v/>
      </c>
      <c r="AH135" s="46" t="str">
        <f t="shared" ca="1" si="68"/>
        <v/>
      </c>
      <c r="AI135" s="46" t="str">
        <f t="shared" ca="1" si="69"/>
        <v/>
      </c>
      <c r="AJ135" s="46"/>
      <c r="AK135" s="147">
        <f t="shared" ca="1" si="70"/>
        <v>2.0119000000000251</v>
      </c>
      <c r="AL135" s="147">
        <f t="shared" si="71"/>
        <v>2.0122000000000257</v>
      </c>
      <c r="AM135" s="12" t="str">
        <f>IF(V135&lt;=AO$3,VLOOKUP(V135,Kontenplan!$A$9:$D$278,4),"")</f>
        <v/>
      </c>
      <c r="AN135" s="12">
        <f t="shared" si="72"/>
        <v>0</v>
      </c>
      <c r="AO135" s="12" t="str">
        <f t="shared" ca="1" si="73"/>
        <v/>
      </c>
      <c r="AP135" s="46" t="str">
        <f t="shared" ca="1" si="74"/>
        <v/>
      </c>
      <c r="AQ135" s="46" t="str">
        <f t="shared" ca="1" si="75"/>
        <v/>
      </c>
      <c r="AR135" s="46"/>
      <c r="AS135" s="147">
        <f t="shared" ca="1" si="76"/>
        <v>3.0118000000000249</v>
      </c>
      <c r="AT135" s="147">
        <f t="shared" si="77"/>
        <v>2.012300000000026</v>
      </c>
      <c r="AU135" s="47" t="str">
        <f>IF(V135&lt;=AW$3,VLOOKUP(AO$3+V135,Kontenplan!$A$9:$D$278,4),"")</f>
        <v/>
      </c>
      <c r="AV135" s="12">
        <f t="shared" si="78"/>
        <v>0</v>
      </c>
      <c r="AW135" s="12" t="str">
        <f t="shared" ca="1" si="79"/>
        <v/>
      </c>
      <c r="AX135" s="46" t="str">
        <f t="shared" ca="1" si="47"/>
        <v/>
      </c>
      <c r="AY135" s="46" t="str">
        <f t="shared" ca="1" si="80"/>
        <v/>
      </c>
      <c r="BA135" s="12">
        <f>Kontenplan!R137</f>
        <v>3</v>
      </c>
      <c r="BB135" s="12">
        <f>Kontenplan!S137</f>
        <v>2</v>
      </c>
      <c r="BC135" s="12">
        <f>Kontenplan!T137</f>
        <v>4</v>
      </c>
      <c r="BD135" s="170">
        <f>Kontenplan!U137</f>
        <v>4</v>
      </c>
      <c r="BF135" s="24">
        <f ca="1">SUM(AP$7:AP135)</f>
        <v>0</v>
      </c>
      <c r="BG135" s="46">
        <f ca="1">SUM(AQ$7:AQ134)</f>
        <v>0</v>
      </c>
      <c r="BH135" s="24">
        <f t="shared" ca="1" si="81"/>
        <v>0</v>
      </c>
      <c r="BI135" s="24"/>
      <c r="BJ135" s="24">
        <f ca="1">SUM(AX$7:AX135)</f>
        <v>0</v>
      </c>
      <c r="BK135" s="24">
        <f ca="1">SUM(AY$7:AY134)</f>
        <v>0</v>
      </c>
      <c r="BL135" s="24">
        <f t="shared" ca="1" si="82"/>
        <v>0</v>
      </c>
      <c r="BN135" s="24">
        <f ca="1">SUM(AB$7:AB135)</f>
        <v>0</v>
      </c>
      <c r="BO135" s="46">
        <f ca="1">SUM(AC$7:AC134)</f>
        <v>0</v>
      </c>
      <c r="BP135" s="24">
        <f t="shared" ca="1" si="83"/>
        <v>0</v>
      </c>
      <c r="BR135" s="24">
        <f ca="1">SUM(AH$7:AH135)</f>
        <v>0</v>
      </c>
      <c r="BS135" s="46">
        <f ca="1">SUM(AI$7:AI134)</f>
        <v>0</v>
      </c>
      <c r="BT135" s="24">
        <f t="shared" ca="1" si="84"/>
        <v>0</v>
      </c>
    </row>
    <row r="136" spans="1:72" s="12" customFormat="1">
      <c r="A136" s="202">
        <f>Kontenplan!C138</f>
        <v>0</v>
      </c>
      <c r="B136" s="224">
        <f>Kontenplan!E138</f>
        <v>0</v>
      </c>
      <c r="C136" s="225">
        <f>Kontenplan!F138</f>
        <v>0</v>
      </c>
      <c r="D136" s="43">
        <f>IF(B136=0,0,SUMIF(Journal!$F$7:$F$83,Calc!B136,Journal!$I$7:$I$83))</f>
        <v>0</v>
      </c>
      <c r="E136" s="15">
        <f>IF(B136=0,0,SUMIF(Journal!$G$7:$M210,Calc!B136,Journal!$I$7:$I$83))</f>
        <v>0</v>
      </c>
      <c r="F136" s="44">
        <f t="shared" si="48"/>
        <v>0</v>
      </c>
      <c r="G136" s="15">
        <f t="shared" si="49"/>
        <v>0</v>
      </c>
      <c r="H136" s="14" t="str">
        <f t="shared" si="50"/>
        <v xml:space="preserve"> </v>
      </c>
      <c r="I136" s="43" t="str">
        <f t="shared" si="51"/>
        <v xml:space="preserve"> </v>
      </c>
      <c r="J136" s="45" t="str">
        <f t="shared" si="52"/>
        <v xml:space="preserve"> </v>
      </c>
      <c r="K136" s="48" t="str">
        <f t="shared" si="53"/>
        <v xml:space="preserve"> </v>
      </c>
      <c r="L136" s="45" t="str">
        <f t="shared" si="54"/>
        <v xml:space="preserve"> </v>
      </c>
      <c r="M136" s="48" t="str">
        <f t="shared" si="55"/>
        <v xml:space="preserve"> </v>
      </c>
      <c r="N136" s="24"/>
      <c r="O136" s="12">
        <f t="shared" si="56"/>
        <v>10.023999999999944</v>
      </c>
      <c r="P136" s="12">
        <f t="shared" si="57"/>
        <v>9.0221999999999483</v>
      </c>
      <c r="Q136" s="12">
        <f t="shared" si="58"/>
        <v>31.015999999999963</v>
      </c>
      <c r="R136" s="12">
        <f t="shared" si="59"/>
        <v>29.010199999999976</v>
      </c>
      <c r="S136" s="12">
        <f t="shared" si="60"/>
        <v>0</v>
      </c>
      <c r="T136" s="12">
        <f t="shared" si="61"/>
        <v>0</v>
      </c>
      <c r="U136" s="43">
        <f>IF(OR(A136=Kontenplan!$C$3,A136=Kontenplan!$C$5),F136-G136,G136-F136)</f>
        <v>0</v>
      </c>
      <c r="V136" s="171">
        <f t="shared" si="85"/>
        <v>130</v>
      </c>
      <c r="W136" s="12">
        <f t="shared" ref="W136:W199" si="86">IF(Z136=0,ROUND(W135+1,0),W135+0.00001)</f>
        <v>103</v>
      </c>
      <c r="X136" s="12">
        <f t="shared" ref="X136:X199" si="87">IF(AF136=0,ROUND(X135+1,0),X135+0.00001)</f>
        <v>105</v>
      </c>
      <c r="Y136" s="12">
        <f>IF(Z136=0,VLOOKUP(W136,Kontenplan!$Y$9:$AA$551,3),"")</f>
        <v>0</v>
      </c>
      <c r="Z136" s="12">
        <f t="shared" si="62"/>
        <v>0</v>
      </c>
      <c r="AA136" s="12" t="str">
        <f t="shared" ca="1" si="63"/>
        <v/>
      </c>
      <c r="AB136" s="46" t="str">
        <f t="shared" ca="1" si="64"/>
        <v/>
      </c>
      <c r="AC136" s="46" t="str">
        <f t="shared" ca="1" si="65"/>
        <v/>
      </c>
      <c r="AD136" s="47"/>
      <c r="AE136" s="12">
        <f>IF(AF136=0,VLOOKUP(X136,Kontenplan!$Z$9:$AB$551,3),"")</f>
        <v>0</v>
      </c>
      <c r="AF136" s="47">
        <f t="shared" si="66"/>
        <v>0</v>
      </c>
      <c r="AG136" s="12" t="str">
        <f t="shared" ca="1" si="67"/>
        <v/>
      </c>
      <c r="AH136" s="46" t="str">
        <f t="shared" ca="1" si="68"/>
        <v/>
      </c>
      <c r="AI136" s="46" t="str">
        <f t="shared" ca="1" si="69"/>
        <v/>
      </c>
      <c r="AJ136" s="46"/>
      <c r="AK136" s="147">
        <f t="shared" ca="1" si="70"/>
        <v>2.0120000000000253</v>
      </c>
      <c r="AL136" s="147">
        <f t="shared" si="71"/>
        <v>2.012300000000026</v>
      </c>
      <c r="AM136" s="12" t="str">
        <f>IF(V136&lt;=AO$3,VLOOKUP(V136,Kontenplan!$A$9:$D$278,4),"")</f>
        <v/>
      </c>
      <c r="AN136" s="12">
        <f t="shared" si="72"/>
        <v>0</v>
      </c>
      <c r="AO136" s="12" t="str">
        <f t="shared" ca="1" si="73"/>
        <v/>
      </c>
      <c r="AP136" s="46" t="str">
        <f t="shared" ca="1" si="74"/>
        <v/>
      </c>
      <c r="AQ136" s="46" t="str">
        <f t="shared" ca="1" si="75"/>
        <v/>
      </c>
      <c r="AR136" s="46"/>
      <c r="AS136" s="147">
        <f t="shared" ca="1" si="76"/>
        <v>3.0119000000000251</v>
      </c>
      <c r="AT136" s="147">
        <f t="shared" si="77"/>
        <v>2.0124000000000262</v>
      </c>
      <c r="AU136" s="47" t="str">
        <f>IF(V136&lt;=AW$3,VLOOKUP(AO$3+V136,Kontenplan!$A$9:$D$278,4),"")</f>
        <v/>
      </c>
      <c r="AV136" s="12">
        <f t="shared" si="78"/>
        <v>0</v>
      </c>
      <c r="AW136" s="12" t="str">
        <f t="shared" ca="1" si="79"/>
        <v/>
      </c>
      <c r="AX136" s="46" t="str">
        <f t="shared" ca="1" si="47"/>
        <v/>
      </c>
      <c r="AY136" s="46" t="str">
        <f t="shared" ca="1" si="80"/>
        <v/>
      </c>
      <c r="BA136" s="12">
        <f>Kontenplan!R138</f>
        <v>3</v>
      </c>
      <c r="BB136" s="12">
        <f>Kontenplan!S138</f>
        <v>2</v>
      </c>
      <c r="BC136" s="12">
        <f>Kontenplan!T138</f>
        <v>4</v>
      </c>
      <c r="BD136" s="170">
        <f>Kontenplan!U138</f>
        <v>4</v>
      </c>
      <c r="BF136" s="24">
        <f ca="1">SUM(AP$7:AP136)</f>
        <v>0</v>
      </c>
      <c r="BG136" s="46">
        <f ca="1">SUM(AQ$7:AQ135)</f>
        <v>0</v>
      </c>
      <c r="BH136" s="24">
        <f t="shared" ca="1" si="81"/>
        <v>0</v>
      </c>
      <c r="BI136" s="24"/>
      <c r="BJ136" s="24">
        <f ca="1">SUM(AX$7:AX136)</f>
        <v>0</v>
      </c>
      <c r="BK136" s="24">
        <f ca="1">SUM(AY$7:AY135)</f>
        <v>0</v>
      </c>
      <c r="BL136" s="24">
        <f t="shared" ca="1" si="82"/>
        <v>0</v>
      </c>
      <c r="BN136" s="24">
        <f ca="1">SUM(AB$7:AB136)</f>
        <v>0</v>
      </c>
      <c r="BO136" s="46">
        <f ca="1">SUM(AC$7:AC135)</f>
        <v>0</v>
      </c>
      <c r="BP136" s="24">
        <f t="shared" ca="1" si="83"/>
        <v>0</v>
      </c>
      <c r="BR136" s="24">
        <f ca="1">SUM(AH$7:AH136)</f>
        <v>0</v>
      </c>
      <c r="BS136" s="46">
        <f ca="1">SUM(AI$7:AI135)</f>
        <v>0</v>
      </c>
      <c r="BT136" s="24">
        <f t="shared" ca="1" si="84"/>
        <v>0</v>
      </c>
    </row>
    <row r="137" spans="1:72" s="12" customFormat="1">
      <c r="A137" s="202">
        <f>Kontenplan!C139</f>
        <v>0</v>
      </c>
      <c r="B137" s="224">
        <f>Kontenplan!E139</f>
        <v>0</v>
      </c>
      <c r="C137" s="225">
        <f>Kontenplan!F139</f>
        <v>0</v>
      </c>
      <c r="D137" s="43">
        <f>IF(B137=0,0,SUMIF(Journal!$F$7:$F$83,Calc!B137,Journal!$I$7:$I$83))</f>
        <v>0</v>
      </c>
      <c r="E137" s="15">
        <f>IF(B137=0,0,SUMIF(Journal!$G$7:$M211,Calc!B137,Journal!$I$7:$I$83))</f>
        <v>0</v>
      </c>
      <c r="F137" s="44">
        <f t="shared" si="48"/>
        <v>0</v>
      </c>
      <c r="G137" s="15">
        <f t="shared" si="49"/>
        <v>0</v>
      </c>
      <c r="H137" s="14" t="str">
        <f t="shared" si="50"/>
        <v xml:space="preserve"> </v>
      </c>
      <c r="I137" s="43" t="str">
        <f t="shared" si="51"/>
        <v xml:space="preserve"> </v>
      </c>
      <c r="J137" s="45" t="str">
        <f t="shared" si="52"/>
        <v xml:space="preserve"> </v>
      </c>
      <c r="K137" s="48" t="str">
        <f t="shared" si="53"/>
        <v xml:space="preserve"> </v>
      </c>
      <c r="L137" s="45" t="str">
        <f t="shared" si="54"/>
        <v xml:space="preserve"> </v>
      </c>
      <c r="M137" s="48" t="str">
        <f t="shared" si="55"/>
        <v xml:space="preserve"> </v>
      </c>
      <c r="N137" s="24"/>
      <c r="O137" s="12">
        <f t="shared" si="56"/>
        <v>10.024199999999944</v>
      </c>
      <c r="P137" s="12">
        <f t="shared" si="57"/>
        <v>9.0223999999999478</v>
      </c>
      <c r="Q137" s="12">
        <f t="shared" si="58"/>
        <v>31.016199999999962</v>
      </c>
      <c r="R137" s="12">
        <f t="shared" si="59"/>
        <v>29.010399999999976</v>
      </c>
      <c r="S137" s="12">
        <f t="shared" si="60"/>
        <v>0</v>
      </c>
      <c r="T137" s="12">
        <f t="shared" si="61"/>
        <v>0</v>
      </c>
      <c r="U137" s="43">
        <f>IF(OR(A137=Kontenplan!$C$3,A137=Kontenplan!$C$5),F137-G137,G137-F137)</f>
        <v>0</v>
      </c>
      <c r="V137" s="171">
        <f t="shared" si="85"/>
        <v>131</v>
      </c>
      <c r="W137" s="12">
        <f t="shared" si="86"/>
        <v>104</v>
      </c>
      <c r="X137" s="12">
        <f t="shared" si="87"/>
        <v>106</v>
      </c>
      <c r="Y137" s="12">
        <f>IF(Z137=0,VLOOKUP(W137,Kontenplan!$Y$9:$AA$551,3),"")</f>
        <v>0</v>
      </c>
      <c r="Z137" s="12">
        <f t="shared" si="62"/>
        <v>0</v>
      </c>
      <c r="AA137" s="12" t="str">
        <f t="shared" ca="1" si="63"/>
        <v/>
      </c>
      <c r="AB137" s="46" t="str">
        <f t="shared" ca="1" si="64"/>
        <v/>
      </c>
      <c r="AC137" s="46" t="str">
        <f t="shared" ca="1" si="65"/>
        <v/>
      </c>
      <c r="AD137" s="47"/>
      <c r="AE137" s="12">
        <f>IF(AF137=0,VLOOKUP(X137,Kontenplan!$Z$9:$AB$551,3),"")</f>
        <v>0</v>
      </c>
      <c r="AF137" s="47">
        <f t="shared" si="66"/>
        <v>0</v>
      </c>
      <c r="AG137" s="12" t="str">
        <f t="shared" ca="1" si="67"/>
        <v/>
      </c>
      <c r="AH137" s="46" t="str">
        <f t="shared" ca="1" si="68"/>
        <v/>
      </c>
      <c r="AI137" s="46" t="str">
        <f t="shared" ca="1" si="69"/>
        <v/>
      </c>
      <c r="AJ137" s="46"/>
      <c r="AK137" s="147">
        <f t="shared" ca="1" si="70"/>
        <v>2.0121000000000255</v>
      </c>
      <c r="AL137" s="147">
        <f t="shared" si="71"/>
        <v>2.0124000000000262</v>
      </c>
      <c r="AM137" s="12" t="str">
        <f>IF(V137&lt;=AO$3,VLOOKUP(V137,Kontenplan!$A$9:$D$278,4),"")</f>
        <v/>
      </c>
      <c r="AN137" s="12">
        <f t="shared" si="72"/>
        <v>0</v>
      </c>
      <c r="AO137" s="12" t="str">
        <f t="shared" ca="1" si="73"/>
        <v/>
      </c>
      <c r="AP137" s="46" t="str">
        <f t="shared" ca="1" si="74"/>
        <v/>
      </c>
      <c r="AQ137" s="46" t="str">
        <f t="shared" ca="1" si="75"/>
        <v/>
      </c>
      <c r="AR137" s="46"/>
      <c r="AS137" s="147">
        <f t="shared" ca="1" si="76"/>
        <v>3.0120000000000253</v>
      </c>
      <c r="AT137" s="147">
        <f t="shared" si="77"/>
        <v>2.0125000000000264</v>
      </c>
      <c r="AU137" s="47" t="str">
        <f>IF(V137&lt;=AW$3,VLOOKUP(AO$3+V137,Kontenplan!$A$9:$D$278,4),"")</f>
        <v/>
      </c>
      <c r="AV137" s="12">
        <f t="shared" si="78"/>
        <v>0</v>
      </c>
      <c r="AW137" s="12" t="str">
        <f t="shared" ca="1" si="79"/>
        <v/>
      </c>
      <c r="AX137" s="46" t="str">
        <f t="shared" ref="AX137:AX200" ca="1" si="88">IF($H$284=0,0,IF(AW137="Gewinn",I$280,IF(AW137="Total","c",IF(AO$4+2&lt;V137,"",VLOOKUP(V137,$P$7:$U$276,6)))))</f>
        <v/>
      </c>
      <c r="AY137" s="46" t="str">
        <f t="shared" ca="1" si="80"/>
        <v/>
      </c>
      <c r="BA137" s="12">
        <f>Kontenplan!R139</f>
        <v>3</v>
      </c>
      <c r="BB137" s="12">
        <f>Kontenplan!S139</f>
        <v>2</v>
      </c>
      <c r="BC137" s="12">
        <f>Kontenplan!T139</f>
        <v>4</v>
      </c>
      <c r="BD137" s="170">
        <f>Kontenplan!U139</f>
        <v>4</v>
      </c>
      <c r="BF137" s="24">
        <f ca="1">SUM(AP$7:AP137)</f>
        <v>0</v>
      </c>
      <c r="BG137" s="46">
        <f ca="1">SUM(AQ$7:AQ136)</f>
        <v>0</v>
      </c>
      <c r="BH137" s="24">
        <f t="shared" ca="1" si="81"/>
        <v>0</v>
      </c>
      <c r="BI137" s="24"/>
      <c r="BJ137" s="24">
        <f ca="1">SUM(AX$7:AX137)</f>
        <v>0</v>
      </c>
      <c r="BK137" s="24">
        <f ca="1">SUM(AY$7:AY136)</f>
        <v>0</v>
      </c>
      <c r="BL137" s="24">
        <f t="shared" ca="1" si="82"/>
        <v>0</v>
      </c>
      <c r="BN137" s="24">
        <f ca="1">SUM(AB$7:AB137)</f>
        <v>0</v>
      </c>
      <c r="BO137" s="46">
        <f ca="1">SUM(AC$7:AC136)</f>
        <v>0</v>
      </c>
      <c r="BP137" s="24">
        <f t="shared" ca="1" si="83"/>
        <v>0</v>
      </c>
      <c r="BR137" s="24">
        <f ca="1">SUM(AH$7:AH137)</f>
        <v>0</v>
      </c>
      <c r="BS137" s="46">
        <f ca="1">SUM(AI$7:AI136)</f>
        <v>0</v>
      </c>
      <c r="BT137" s="24">
        <f t="shared" ca="1" si="84"/>
        <v>0</v>
      </c>
    </row>
    <row r="138" spans="1:72" s="12" customFormat="1">
      <c r="A138" s="202">
        <f>Kontenplan!C140</f>
        <v>0</v>
      </c>
      <c r="B138" s="224">
        <f>Kontenplan!E140</f>
        <v>0</v>
      </c>
      <c r="C138" s="225">
        <f>Kontenplan!F140</f>
        <v>0</v>
      </c>
      <c r="D138" s="43">
        <f>IF(B138=0,0,SUMIF(Journal!$F$7:$F$83,Calc!B138,Journal!$I$7:$I$83))</f>
        <v>0</v>
      </c>
      <c r="E138" s="15">
        <f>IF(B138=0,0,SUMIF(Journal!$G$7:$M212,Calc!B138,Journal!$I$7:$I$83))</f>
        <v>0</v>
      </c>
      <c r="F138" s="44">
        <f t="shared" si="48"/>
        <v>0</v>
      </c>
      <c r="G138" s="15">
        <f t="shared" si="49"/>
        <v>0</v>
      </c>
      <c r="H138" s="14" t="str">
        <f t="shared" si="50"/>
        <v xml:space="preserve"> </v>
      </c>
      <c r="I138" s="43" t="str">
        <f t="shared" si="51"/>
        <v xml:space="preserve"> </v>
      </c>
      <c r="J138" s="45" t="str">
        <f t="shared" si="52"/>
        <v xml:space="preserve"> </v>
      </c>
      <c r="K138" s="48" t="str">
        <f t="shared" si="53"/>
        <v xml:space="preserve"> </v>
      </c>
      <c r="L138" s="45" t="str">
        <f t="shared" si="54"/>
        <v xml:space="preserve"> </v>
      </c>
      <c r="M138" s="48" t="str">
        <f t="shared" si="55"/>
        <v xml:space="preserve"> </v>
      </c>
      <c r="N138" s="24"/>
      <c r="O138" s="12">
        <f t="shared" si="56"/>
        <v>10.024399999999943</v>
      </c>
      <c r="P138" s="12">
        <f t="shared" si="57"/>
        <v>9.0225999999999473</v>
      </c>
      <c r="Q138" s="12">
        <f t="shared" si="58"/>
        <v>31.016399999999962</v>
      </c>
      <c r="R138" s="12">
        <f t="shared" si="59"/>
        <v>29.010599999999975</v>
      </c>
      <c r="S138" s="12">
        <f t="shared" si="60"/>
        <v>0</v>
      </c>
      <c r="T138" s="12">
        <f t="shared" si="61"/>
        <v>0</v>
      </c>
      <c r="U138" s="43">
        <f>IF(OR(A138=Kontenplan!$C$3,A138=Kontenplan!$C$5),F138-G138,G138-F138)</f>
        <v>0</v>
      </c>
      <c r="V138" s="171">
        <f t="shared" si="85"/>
        <v>132</v>
      </c>
      <c r="W138" s="12">
        <f t="shared" si="86"/>
        <v>105</v>
      </c>
      <c r="X138" s="12">
        <f t="shared" si="87"/>
        <v>107</v>
      </c>
      <c r="Y138" s="12">
        <f>IF(Z138=0,VLOOKUP(W138,Kontenplan!$Y$9:$AA$551,3),"")</f>
        <v>0</v>
      </c>
      <c r="Z138" s="12">
        <f t="shared" si="62"/>
        <v>0</v>
      </c>
      <c r="AA138" s="12" t="str">
        <f t="shared" ca="1" si="63"/>
        <v/>
      </c>
      <c r="AB138" s="46" t="str">
        <f t="shared" ca="1" si="64"/>
        <v/>
      </c>
      <c r="AC138" s="46" t="str">
        <f t="shared" ca="1" si="65"/>
        <v/>
      </c>
      <c r="AD138" s="47"/>
      <c r="AE138" s="12">
        <f>IF(AF138=0,VLOOKUP(X138,Kontenplan!$Z$9:$AB$551,3),"")</f>
        <v>0</v>
      </c>
      <c r="AF138" s="47">
        <f t="shared" si="66"/>
        <v>0</v>
      </c>
      <c r="AG138" s="12" t="str">
        <f t="shared" ca="1" si="67"/>
        <v/>
      </c>
      <c r="AH138" s="46" t="str">
        <f t="shared" ca="1" si="68"/>
        <v/>
      </c>
      <c r="AI138" s="46" t="str">
        <f t="shared" ca="1" si="69"/>
        <v/>
      </c>
      <c r="AJ138" s="46"/>
      <c r="AK138" s="147">
        <f t="shared" ca="1" si="70"/>
        <v>2.0122000000000257</v>
      </c>
      <c r="AL138" s="147">
        <f t="shared" si="71"/>
        <v>2.0125000000000264</v>
      </c>
      <c r="AM138" s="12" t="str">
        <f>IF(V138&lt;=AO$3,VLOOKUP(V138,Kontenplan!$A$9:$D$278,4),"")</f>
        <v/>
      </c>
      <c r="AN138" s="12">
        <f t="shared" si="72"/>
        <v>0</v>
      </c>
      <c r="AO138" s="12" t="str">
        <f t="shared" ca="1" si="73"/>
        <v/>
      </c>
      <c r="AP138" s="46" t="str">
        <f t="shared" ca="1" si="74"/>
        <v/>
      </c>
      <c r="AQ138" s="46" t="str">
        <f t="shared" ca="1" si="75"/>
        <v/>
      </c>
      <c r="AR138" s="46"/>
      <c r="AS138" s="147">
        <f t="shared" ca="1" si="76"/>
        <v>3.0121000000000255</v>
      </c>
      <c r="AT138" s="147">
        <f t="shared" si="77"/>
        <v>2.0126000000000266</v>
      </c>
      <c r="AU138" s="47" t="str">
        <f>IF(V138&lt;=AW$3,VLOOKUP(AO$3+V138,Kontenplan!$A$9:$D$278,4),"")</f>
        <v/>
      </c>
      <c r="AV138" s="12">
        <f t="shared" si="78"/>
        <v>0</v>
      </c>
      <c r="AW138" s="12" t="str">
        <f t="shared" ca="1" si="79"/>
        <v/>
      </c>
      <c r="AX138" s="46" t="str">
        <f t="shared" ca="1" si="88"/>
        <v/>
      </c>
      <c r="AY138" s="46" t="str">
        <f t="shared" ca="1" si="80"/>
        <v/>
      </c>
      <c r="BA138" s="12">
        <f>Kontenplan!R140</f>
        <v>3</v>
      </c>
      <c r="BB138" s="12">
        <f>Kontenplan!S140</f>
        <v>2</v>
      </c>
      <c r="BC138" s="12">
        <f>Kontenplan!T140</f>
        <v>4</v>
      </c>
      <c r="BD138" s="170">
        <f>Kontenplan!U140</f>
        <v>4</v>
      </c>
      <c r="BF138" s="24">
        <f ca="1">SUM(AP$7:AP138)</f>
        <v>0</v>
      </c>
      <c r="BG138" s="46">
        <f ca="1">SUM(AQ$7:AQ137)</f>
        <v>0</v>
      </c>
      <c r="BH138" s="24">
        <f t="shared" ca="1" si="81"/>
        <v>0</v>
      </c>
      <c r="BI138" s="24"/>
      <c r="BJ138" s="24">
        <f ca="1">SUM(AX$7:AX138)</f>
        <v>0</v>
      </c>
      <c r="BK138" s="24">
        <f ca="1">SUM(AY$7:AY137)</f>
        <v>0</v>
      </c>
      <c r="BL138" s="24">
        <f t="shared" ca="1" si="82"/>
        <v>0</v>
      </c>
      <c r="BN138" s="24">
        <f ca="1">SUM(AB$7:AB138)</f>
        <v>0</v>
      </c>
      <c r="BO138" s="46">
        <f ca="1">SUM(AC$7:AC137)</f>
        <v>0</v>
      </c>
      <c r="BP138" s="24">
        <f t="shared" ca="1" si="83"/>
        <v>0</v>
      </c>
      <c r="BR138" s="24">
        <f ca="1">SUM(AH$7:AH138)</f>
        <v>0</v>
      </c>
      <c r="BS138" s="46">
        <f ca="1">SUM(AI$7:AI137)</f>
        <v>0</v>
      </c>
      <c r="BT138" s="24">
        <f t="shared" ca="1" si="84"/>
        <v>0</v>
      </c>
    </row>
    <row r="139" spans="1:72" s="12" customFormat="1">
      <c r="A139" s="202">
        <f>Kontenplan!C141</f>
        <v>0</v>
      </c>
      <c r="B139" s="224">
        <f>Kontenplan!E141</f>
        <v>0</v>
      </c>
      <c r="C139" s="225">
        <f>Kontenplan!F141</f>
        <v>0</v>
      </c>
      <c r="D139" s="43">
        <f>IF(B139=0,0,SUMIF(Journal!$F$7:$F$83,Calc!B139,Journal!$I$7:$I$83))</f>
        <v>0</v>
      </c>
      <c r="E139" s="15">
        <f>IF(B139=0,0,SUMIF(Journal!$G$7:$M213,Calc!B139,Journal!$I$7:$I$83))</f>
        <v>0</v>
      </c>
      <c r="F139" s="44">
        <f t="shared" ref="F139:F202" si="89">IF(D139-E139&gt;0,D139-E139,0)</f>
        <v>0</v>
      </c>
      <c r="G139" s="15">
        <f t="shared" ref="G139:G202" si="90">IF(E139&gt;D139,E139-D139,0)</f>
        <v>0</v>
      </c>
      <c r="H139" s="14" t="str">
        <f t="shared" ref="H139:H202" si="91">IF(AND(OR(A139="Aktivkonto",A139="Passivkonto"),F139&gt;0),F139," ")</f>
        <v xml:space="preserve"> </v>
      </c>
      <c r="I139" s="43" t="str">
        <f t="shared" ref="I139:I202" si="92">IF(AND(OR(A139="Aktivkonto",A139="Passivkonto"),G139&gt;0),G139," ")</f>
        <v xml:space="preserve"> </v>
      </c>
      <c r="J139" s="45" t="str">
        <f t="shared" ref="J139:J202" si="93">IF(AND(OR(A139="Aufwandskonto",A139="Ertragskonto",A139="Ertragsminderung",A139="a.o.Erfolgskonto"),F139&gt;0),F139," ")</f>
        <v xml:space="preserve"> </v>
      </c>
      <c r="K139" s="48" t="str">
        <f t="shared" ref="K139:K202" si="94">IF(AND(OR(A139="Aufwandskonto",A139="Ertragskonto",A139="Ertragsminderung",A139="a.o.Erfolgskonto"),G139&gt;0),G139," ")</f>
        <v xml:space="preserve"> </v>
      </c>
      <c r="L139" s="45" t="str">
        <f t="shared" ref="L139:L202" si="95">H139</f>
        <v xml:space="preserve"> </v>
      </c>
      <c r="M139" s="48" t="str">
        <f t="shared" ref="M139:M202" si="96">I139</f>
        <v xml:space="preserve"> </v>
      </c>
      <c r="N139" s="24"/>
      <c r="O139" s="12">
        <f t="shared" ref="O139:O202" si="97">IF(OR(BA139-BA138=1,$A139=O$5),ROUND(O138+1,0),O138+0.0002)</f>
        <v>10.024599999999943</v>
      </c>
      <c r="P139" s="12">
        <f t="shared" ref="P139:P202" si="98">IF(OR(BB139-BB138=1,$A139=P$5),ROUND(P138+1,0),P138+0.0002)</f>
        <v>9.0227999999999469</v>
      </c>
      <c r="Q139" s="12">
        <f t="shared" ref="Q139:Q202" si="99">IF(OR($A139=Q$5,BC139-BC138=1),ROUND(Q138+1,0),Q138+0.0002)</f>
        <v>31.016599999999961</v>
      </c>
      <c r="R139" s="12">
        <f t="shared" ref="R139:R202" si="100">IF(OR(BD139-BD138=1,$A139=R$5),ROUND(R138+1,0),R138+0.0002)</f>
        <v>29.010799999999975</v>
      </c>
      <c r="S139" s="12">
        <f t="shared" ref="S139:S202" si="101">B139</f>
        <v>0</v>
      </c>
      <c r="T139" s="12">
        <f t="shared" ref="T139:T202" si="102">C139</f>
        <v>0</v>
      </c>
      <c r="U139" s="43">
        <f>IF(OR(A139=Kontenplan!$C$3,A139=Kontenplan!$C$5),F139-G139,G139-F139)</f>
        <v>0</v>
      </c>
      <c r="V139" s="171">
        <f t="shared" si="85"/>
        <v>133</v>
      </c>
      <c r="W139" s="12">
        <f t="shared" si="86"/>
        <v>106</v>
      </c>
      <c r="X139" s="12">
        <f t="shared" si="87"/>
        <v>108</v>
      </c>
      <c r="Y139" s="12">
        <f>IF(Z139=0,VLOOKUP(W139,Kontenplan!$Y$9:$AA$551,3),"")</f>
        <v>0</v>
      </c>
      <c r="Z139" s="12">
        <f t="shared" ref="Z139:Z202" si="103">VLOOKUP(V139,$Q$7:$S$276,3)</f>
        <v>0</v>
      </c>
      <c r="AA139" s="12" t="str">
        <f t="shared" ref="AA139:AA202" ca="1" si="104">IF(AA$4+1=V139,$C$280,IF(AA$4+2=V139,"Total",IF(VLOOKUP(V139,$Q$7:$T$276,4)=0,"",VLOOKUP(V139,$Q$7:$T$276,4))))</f>
        <v/>
      </c>
      <c r="AB139" s="46" t="str">
        <f t="shared" ref="AB139:AB202" ca="1" si="105">IF($H$284=0,0,IF(AA$4+2=V139,"c",IF(AA139="Gewinn",J$280,IF(AA$4+2&lt;V139,"",VLOOKUP(V139,$Q$7:$U$276,5)))))</f>
        <v/>
      </c>
      <c r="AC139" s="46" t="str">
        <f t="shared" ref="AC139:AC202" ca="1" si="106">IF(AA139="Gewinn",AB139,IF(AA139="Total",BN139,IF(AND(Z140=0,Z139&gt;0),BP139,IF(AND(Z139&gt;0,Z140&gt;0),"",IF(Z139&gt;0,0,"")))))</f>
        <v/>
      </c>
      <c r="AD139" s="47"/>
      <c r="AE139" s="12">
        <f>IF(AF139=0,VLOOKUP(X139,Kontenplan!$Z$9:$AB$551,3),"")</f>
        <v>0</v>
      </c>
      <c r="AF139" s="47">
        <f t="shared" ref="AF139:AF202" si="107">VLOOKUP(V139,$R$7:$S$276,2)</f>
        <v>0</v>
      </c>
      <c r="AG139" s="12" t="str">
        <f t="shared" ref="AG139:AG202" ca="1" si="108">IF(AA$4+1=V139,$C$280,IF(AA$4+2=V139,"Total",IF(VLOOKUP(V139,$R$7:$T$276,3)=0,"",VLOOKUP(V139,$R$7:$T$276,3))))</f>
        <v/>
      </c>
      <c r="AH139" s="46" t="str">
        <f t="shared" ref="AH139:AH202" ca="1" si="109">IF($H$284=0,0,IF(AG139="Verlust",K$280,IF(AG139="Total","c",IF(AA$4+2&lt;V139,"",VLOOKUP(V139,$R$7:$U$276,4)))))</f>
        <v/>
      </c>
      <c r="AI139" s="46" t="str">
        <f t="shared" ref="AI139:AI202" ca="1" si="110">IF(AG139="Verlust",AH139,IF(AG139="Total",BR139,IF(AND(AF140=0,AF139&gt;0),BT139,IF(AND(AF139&gt;0,AF140&gt;0),"",IF(AF139&gt;0,0,"")))))</f>
        <v/>
      </c>
      <c r="AJ139" s="46"/>
      <c r="AK139" s="147">
        <f t="shared" ref="AK139:AK202" ca="1" si="111">IF(OR(AK138+0.7&gt;AL138,AQ139=""),AK138+0.0001,ROUND(AK138+1,0))</f>
        <v>2.012300000000026</v>
      </c>
      <c r="AL139" s="147">
        <f t="shared" ref="AL139:AL202" si="112">IF(OR(AM139="",AM139=0,AM140&lt;&gt;0),AL138+0.0001,ROUND(AL138+1,0))</f>
        <v>2.0126000000000266</v>
      </c>
      <c r="AM139" s="12" t="str">
        <f>IF(V139&lt;=AO$3,VLOOKUP(V139,Kontenplan!$A$9:$D$278,4),"")</f>
        <v/>
      </c>
      <c r="AN139" s="12">
        <f t="shared" ref="AN139:AN202" si="113">VLOOKUP(V139,$O$7:$S$276,5)</f>
        <v>0</v>
      </c>
      <c r="AO139" s="12" t="str">
        <f t="shared" ref="AO139:AO202" ca="1" si="114">IF($AO$4+1=V139,C$280,IF($AO$4+2=V139,"Total",IF(VLOOKUP(V139,$O$7:$T$276,6)=0,"",(VLOOKUP(V139,$O$7:$T$276,6)))))</f>
        <v/>
      </c>
      <c r="AP139" s="46" t="str">
        <f t="shared" ref="AP139:AP202" ca="1" si="115">IF($H$284=0,0,IF(AO$4+2=V139,"c",IF(AO139="Verlust",H$280,IF(AO$4+2&lt;V139,"",VLOOKUP(V139,$O$7:$U$276,7)))))</f>
        <v/>
      </c>
      <c r="AQ139" s="46" t="str">
        <f t="shared" ref="AQ139:AQ202" ca="1" si="116">IF(AO139="Verlust",AP139,IF(AO139="Total",BF139,IF(AND(AN140=0,AN139&gt;0),BH139,IF(AND(AN139&gt;0,AN140&gt;0),"",IF(AN139&gt;0,0,"")))))</f>
        <v/>
      </c>
      <c r="AR139" s="46"/>
      <c r="AS139" s="147">
        <f t="shared" ref="AS139:AS202" ca="1" si="117">IF(AW139="Gewinn",ROUND(AS138+1,0),IF(OR(AS138+0.7&gt;AT138,AY139=""),AS138+0.0001,ROUND(AS138+1,0)))</f>
        <v>3.0122000000000257</v>
      </c>
      <c r="AT139" s="147">
        <f t="shared" ref="AT139:AT202" si="118">IF(OR(AU139="",AU139=0,AU140&lt;&gt;0),AT138+0.0001,ROUND(AT138+1,0))</f>
        <v>2.0127000000000268</v>
      </c>
      <c r="AU139" s="47" t="str">
        <f>IF(V139&lt;=AW$3,VLOOKUP(AO$3+V139,Kontenplan!$A$9:$D$278,4),"")</f>
        <v/>
      </c>
      <c r="AV139" s="12">
        <f t="shared" ref="AV139:AV202" si="119">VLOOKUP(V139,$P$7:$S$276,4)</f>
        <v>0</v>
      </c>
      <c r="AW139" s="12" t="str">
        <f t="shared" ref="AW139:AW202" ca="1" si="120">IF($AO$4+1=V139,C$280,IF($AO$4+2=V139,"Total",IF(VLOOKUP(V139,$P$7:$T$276,5)=0,"",(VLOOKUP(V139,$P$7:$T$276,5)))))</f>
        <v/>
      </c>
      <c r="AX139" s="46" t="str">
        <f t="shared" ca="1" si="88"/>
        <v/>
      </c>
      <c r="AY139" s="46" t="str">
        <f t="shared" ref="AY139:AY202" ca="1" si="121">IF(AW139="Gewinn",AX139,IF(AW139="Total",BJ139,IF(AND(AV140=0,AV139&gt;0),BL139,IF(AND(AV139&gt;0,AV140&gt;0),"",IF(AV139&gt;0,0,"")))))</f>
        <v/>
      </c>
      <c r="BA139" s="12">
        <f>Kontenplan!R141</f>
        <v>3</v>
      </c>
      <c r="BB139" s="12">
        <f>Kontenplan!S141</f>
        <v>2</v>
      </c>
      <c r="BC139" s="12">
        <f>Kontenplan!T141</f>
        <v>4</v>
      </c>
      <c r="BD139" s="170">
        <f>Kontenplan!U141</f>
        <v>4</v>
      </c>
      <c r="BF139" s="24">
        <f ca="1">SUM(AP$7:AP139)</f>
        <v>0</v>
      </c>
      <c r="BG139" s="46">
        <f ca="1">SUM(AQ$7:AQ138)</f>
        <v>0</v>
      </c>
      <c r="BH139" s="24">
        <f t="shared" ref="BH139:BH202" ca="1" si="122">BF139-BG139</f>
        <v>0</v>
      </c>
      <c r="BI139" s="24"/>
      <c r="BJ139" s="24">
        <f ca="1">SUM(AX$7:AX139)</f>
        <v>0</v>
      </c>
      <c r="BK139" s="24">
        <f ca="1">SUM(AY$7:AY138)</f>
        <v>0</v>
      </c>
      <c r="BL139" s="24">
        <f t="shared" ref="BL139:BL202" ca="1" si="123">BJ139-BK139</f>
        <v>0</v>
      </c>
      <c r="BN139" s="24">
        <f ca="1">SUM(AB$7:AB139)</f>
        <v>0</v>
      </c>
      <c r="BO139" s="46">
        <f ca="1">SUM(AC$7:AC138)</f>
        <v>0</v>
      </c>
      <c r="BP139" s="24">
        <f t="shared" ref="BP139:BP202" ca="1" si="124">BN139-BO139</f>
        <v>0</v>
      </c>
      <c r="BR139" s="24">
        <f ca="1">SUM(AH$7:AH139)</f>
        <v>0</v>
      </c>
      <c r="BS139" s="46">
        <f ca="1">SUM(AI$7:AI138)</f>
        <v>0</v>
      </c>
      <c r="BT139" s="24">
        <f t="shared" ref="BT139:BT202" ca="1" si="125">BR139-BS139</f>
        <v>0</v>
      </c>
    </row>
    <row r="140" spans="1:72" s="12" customFormat="1">
      <c r="A140" s="202">
        <f>Kontenplan!C142</f>
        <v>0</v>
      </c>
      <c r="B140" s="224">
        <f>Kontenplan!E142</f>
        <v>0</v>
      </c>
      <c r="C140" s="225">
        <f>Kontenplan!F142</f>
        <v>0</v>
      </c>
      <c r="D140" s="43">
        <f>IF(B140=0,0,SUMIF(Journal!$F$7:$F$83,Calc!B140,Journal!$I$7:$I$83))</f>
        <v>0</v>
      </c>
      <c r="E140" s="15">
        <f>IF(B140=0,0,SUMIF(Journal!$G$7:$M214,Calc!B140,Journal!$I$7:$I$83))</f>
        <v>0</v>
      </c>
      <c r="F140" s="44">
        <f t="shared" si="89"/>
        <v>0</v>
      </c>
      <c r="G140" s="15">
        <f t="shared" si="90"/>
        <v>0</v>
      </c>
      <c r="H140" s="14" t="str">
        <f t="shared" si="91"/>
        <v xml:space="preserve"> </v>
      </c>
      <c r="I140" s="43" t="str">
        <f t="shared" si="92"/>
        <v xml:space="preserve"> </v>
      </c>
      <c r="J140" s="45" t="str">
        <f t="shared" si="93"/>
        <v xml:space="preserve"> </v>
      </c>
      <c r="K140" s="48" t="str">
        <f t="shared" si="94"/>
        <v xml:space="preserve"> </v>
      </c>
      <c r="L140" s="45" t="str">
        <f t="shared" si="95"/>
        <v xml:space="preserve"> </v>
      </c>
      <c r="M140" s="48" t="str">
        <f t="shared" si="96"/>
        <v xml:space="preserve"> </v>
      </c>
      <c r="N140" s="24"/>
      <c r="O140" s="12">
        <f t="shared" si="97"/>
        <v>10.024799999999942</v>
      </c>
      <c r="P140" s="12">
        <f t="shared" si="98"/>
        <v>9.0229999999999464</v>
      </c>
      <c r="Q140" s="12">
        <f t="shared" si="99"/>
        <v>31.016799999999961</v>
      </c>
      <c r="R140" s="12">
        <f t="shared" si="100"/>
        <v>29.010999999999974</v>
      </c>
      <c r="S140" s="12">
        <f t="shared" si="101"/>
        <v>0</v>
      </c>
      <c r="T140" s="12">
        <f t="shared" si="102"/>
        <v>0</v>
      </c>
      <c r="U140" s="43">
        <f>IF(OR(A140=Kontenplan!$C$3,A140=Kontenplan!$C$5),F140-G140,G140-F140)</f>
        <v>0</v>
      </c>
      <c r="V140" s="171">
        <f t="shared" si="85"/>
        <v>134</v>
      </c>
      <c r="W140" s="12">
        <f t="shared" si="86"/>
        <v>107</v>
      </c>
      <c r="X140" s="12">
        <f t="shared" si="87"/>
        <v>109</v>
      </c>
      <c r="Y140" s="12">
        <f>IF(Z140=0,VLOOKUP(W140,Kontenplan!$Y$9:$AA$551,3),"")</f>
        <v>0</v>
      </c>
      <c r="Z140" s="12">
        <f t="shared" si="103"/>
        <v>0</v>
      </c>
      <c r="AA140" s="12" t="str">
        <f t="shared" ca="1" si="104"/>
        <v/>
      </c>
      <c r="AB140" s="46" t="str">
        <f t="shared" ca="1" si="105"/>
        <v/>
      </c>
      <c r="AC140" s="46" t="str">
        <f t="shared" ca="1" si="106"/>
        <v/>
      </c>
      <c r="AD140" s="47"/>
      <c r="AE140" s="12">
        <f>IF(AF140=0,VLOOKUP(X140,Kontenplan!$Z$9:$AB$551,3),"")</f>
        <v>0</v>
      </c>
      <c r="AF140" s="47">
        <f t="shared" si="107"/>
        <v>0</v>
      </c>
      <c r="AG140" s="12" t="str">
        <f t="shared" ca="1" si="108"/>
        <v/>
      </c>
      <c r="AH140" s="46" t="str">
        <f t="shared" ca="1" si="109"/>
        <v/>
      </c>
      <c r="AI140" s="46" t="str">
        <f t="shared" ca="1" si="110"/>
        <v/>
      </c>
      <c r="AJ140" s="46"/>
      <c r="AK140" s="147">
        <f t="shared" ca="1" si="111"/>
        <v>2.0124000000000262</v>
      </c>
      <c r="AL140" s="147">
        <f t="shared" si="112"/>
        <v>2.0127000000000268</v>
      </c>
      <c r="AM140" s="12" t="str">
        <f>IF(V140&lt;=AO$3,VLOOKUP(V140,Kontenplan!$A$9:$D$278,4),"")</f>
        <v/>
      </c>
      <c r="AN140" s="12">
        <f t="shared" si="113"/>
        <v>0</v>
      </c>
      <c r="AO140" s="12" t="str">
        <f t="shared" ca="1" si="114"/>
        <v/>
      </c>
      <c r="AP140" s="46" t="str">
        <f t="shared" ca="1" si="115"/>
        <v/>
      </c>
      <c r="AQ140" s="46" t="str">
        <f t="shared" ca="1" si="116"/>
        <v/>
      </c>
      <c r="AR140" s="46"/>
      <c r="AS140" s="147">
        <f t="shared" ca="1" si="117"/>
        <v>3.012300000000026</v>
      </c>
      <c r="AT140" s="147">
        <f t="shared" si="118"/>
        <v>2.012800000000027</v>
      </c>
      <c r="AU140" s="47" t="str">
        <f>IF(V140&lt;=AW$3,VLOOKUP(AO$3+V140,Kontenplan!$A$9:$D$278,4),"")</f>
        <v/>
      </c>
      <c r="AV140" s="12">
        <f t="shared" si="119"/>
        <v>0</v>
      </c>
      <c r="AW140" s="12" t="str">
        <f t="shared" ca="1" si="120"/>
        <v/>
      </c>
      <c r="AX140" s="46" t="str">
        <f t="shared" ca="1" si="88"/>
        <v/>
      </c>
      <c r="AY140" s="46" t="str">
        <f t="shared" ca="1" si="121"/>
        <v/>
      </c>
      <c r="BA140" s="12">
        <f>Kontenplan!R142</f>
        <v>3</v>
      </c>
      <c r="BB140" s="12">
        <f>Kontenplan!S142</f>
        <v>2</v>
      </c>
      <c r="BC140" s="12">
        <f>Kontenplan!T142</f>
        <v>4</v>
      </c>
      <c r="BD140" s="170">
        <f>Kontenplan!U142</f>
        <v>4</v>
      </c>
      <c r="BF140" s="24">
        <f ca="1">SUM(AP$7:AP140)</f>
        <v>0</v>
      </c>
      <c r="BG140" s="46">
        <f ca="1">SUM(AQ$7:AQ139)</f>
        <v>0</v>
      </c>
      <c r="BH140" s="24">
        <f t="shared" ca="1" si="122"/>
        <v>0</v>
      </c>
      <c r="BI140" s="24"/>
      <c r="BJ140" s="24">
        <f ca="1">SUM(AX$7:AX140)</f>
        <v>0</v>
      </c>
      <c r="BK140" s="24">
        <f ca="1">SUM(AY$7:AY139)</f>
        <v>0</v>
      </c>
      <c r="BL140" s="24">
        <f t="shared" ca="1" si="123"/>
        <v>0</v>
      </c>
      <c r="BN140" s="24">
        <f ca="1">SUM(AB$7:AB140)</f>
        <v>0</v>
      </c>
      <c r="BO140" s="46">
        <f ca="1">SUM(AC$7:AC139)</f>
        <v>0</v>
      </c>
      <c r="BP140" s="24">
        <f t="shared" ca="1" si="124"/>
        <v>0</v>
      </c>
      <c r="BR140" s="24">
        <f ca="1">SUM(AH$7:AH140)</f>
        <v>0</v>
      </c>
      <c r="BS140" s="46">
        <f ca="1">SUM(AI$7:AI139)</f>
        <v>0</v>
      </c>
      <c r="BT140" s="24">
        <f t="shared" ca="1" si="125"/>
        <v>0</v>
      </c>
    </row>
    <row r="141" spans="1:72" s="12" customFormat="1">
      <c r="A141" s="202">
        <f>Kontenplan!C143</f>
        <v>0</v>
      </c>
      <c r="B141" s="224">
        <f>Kontenplan!E143</f>
        <v>0</v>
      </c>
      <c r="C141" s="225">
        <f>Kontenplan!F143</f>
        <v>0</v>
      </c>
      <c r="D141" s="43">
        <f>IF(B141=0,0,SUMIF(Journal!$F$7:$F$83,Calc!B141,Journal!$I$7:$I$83))</f>
        <v>0</v>
      </c>
      <c r="E141" s="15">
        <f>IF(B141=0,0,SUMIF(Journal!$G$7:$M215,Calc!B141,Journal!$I$7:$I$83))</f>
        <v>0</v>
      </c>
      <c r="F141" s="44">
        <f t="shared" si="89"/>
        <v>0</v>
      </c>
      <c r="G141" s="15">
        <f t="shared" si="90"/>
        <v>0</v>
      </c>
      <c r="H141" s="14" t="str">
        <f t="shared" si="91"/>
        <v xml:space="preserve"> </v>
      </c>
      <c r="I141" s="43" t="str">
        <f t="shared" si="92"/>
        <v xml:space="preserve"> </v>
      </c>
      <c r="J141" s="45" t="str">
        <f t="shared" si="93"/>
        <v xml:space="preserve"> </v>
      </c>
      <c r="K141" s="48" t="str">
        <f t="shared" si="94"/>
        <v xml:space="preserve"> </v>
      </c>
      <c r="L141" s="45" t="str">
        <f t="shared" si="95"/>
        <v xml:space="preserve"> </v>
      </c>
      <c r="M141" s="48" t="str">
        <f t="shared" si="96"/>
        <v xml:space="preserve"> </v>
      </c>
      <c r="N141" s="24"/>
      <c r="O141" s="12">
        <f t="shared" si="97"/>
        <v>10.024999999999942</v>
      </c>
      <c r="P141" s="12">
        <f t="shared" si="98"/>
        <v>9.0231999999999459</v>
      </c>
      <c r="Q141" s="12">
        <f t="shared" si="99"/>
        <v>31.01699999999996</v>
      </c>
      <c r="R141" s="12">
        <f t="shared" si="100"/>
        <v>29.011199999999974</v>
      </c>
      <c r="S141" s="12">
        <f t="shared" si="101"/>
        <v>0</v>
      </c>
      <c r="T141" s="12">
        <f t="shared" si="102"/>
        <v>0</v>
      </c>
      <c r="U141" s="43">
        <f>IF(OR(A141=Kontenplan!$C$3,A141=Kontenplan!$C$5),F141-G141,G141-F141)</f>
        <v>0</v>
      </c>
      <c r="V141" s="171">
        <f t="shared" si="85"/>
        <v>135</v>
      </c>
      <c r="W141" s="12">
        <f t="shared" si="86"/>
        <v>108</v>
      </c>
      <c r="X141" s="12">
        <f t="shared" si="87"/>
        <v>110</v>
      </c>
      <c r="Y141" s="12">
        <f>IF(Z141=0,VLOOKUP(W141,Kontenplan!$Y$9:$AA$551,3),"")</f>
        <v>0</v>
      </c>
      <c r="Z141" s="12">
        <f t="shared" si="103"/>
        <v>0</v>
      </c>
      <c r="AA141" s="12" t="str">
        <f t="shared" ca="1" si="104"/>
        <v/>
      </c>
      <c r="AB141" s="46" t="str">
        <f t="shared" ca="1" si="105"/>
        <v/>
      </c>
      <c r="AC141" s="46" t="str">
        <f t="shared" ca="1" si="106"/>
        <v/>
      </c>
      <c r="AD141" s="47"/>
      <c r="AE141" s="12">
        <f>IF(AF141=0,VLOOKUP(X141,Kontenplan!$Z$9:$AB$551,3),"")</f>
        <v>0</v>
      </c>
      <c r="AF141" s="47">
        <f t="shared" si="107"/>
        <v>0</v>
      </c>
      <c r="AG141" s="12" t="str">
        <f t="shared" ca="1" si="108"/>
        <v/>
      </c>
      <c r="AH141" s="46" t="str">
        <f t="shared" ca="1" si="109"/>
        <v/>
      </c>
      <c r="AI141" s="46" t="str">
        <f t="shared" ca="1" si="110"/>
        <v/>
      </c>
      <c r="AJ141" s="46"/>
      <c r="AK141" s="147">
        <f t="shared" ca="1" si="111"/>
        <v>2.0125000000000264</v>
      </c>
      <c r="AL141" s="147">
        <f t="shared" si="112"/>
        <v>2.012800000000027</v>
      </c>
      <c r="AM141" s="12" t="str">
        <f>IF(V141&lt;=AO$3,VLOOKUP(V141,Kontenplan!$A$9:$D$278,4),"")</f>
        <v/>
      </c>
      <c r="AN141" s="12">
        <f t="shared" si="113"/>
        <v>0</v>
      </c>
      <c r="AO141" s="12" t="str">
        <f t="shared" ca="1" si="114"/>
        <v/>
      </c>
      <c r="AP141" s="46" t="str">
        <f t="shared" ca="1" si="115"/>
        <v/>
      </c>
      <c r="AQ141" s="46" t="str">
        <f t="shared" ca="1" si="116"/>
        <v/>
      </c>
      <c r="AR141" s="46"/>
      <c r="AS141" s="147">
        <f t="shared" ca="1" si="117"/>
        <v>3.0124000000000262</v>
      </c>
      <c r="AT141" s="147">
        <f t="shared" si="118"/>
        <v>2.0129000000000272</v>
      </c>
      <c r="AU141" s="47" t="str">
        <f>IF(V141&lt;=AW$3,VLOOKUP(AO$3+V141,Kontenplan!$A$9:$D$278,4),"")</f>
        <v/>
      </c>
      <c r="AV141" s="12">
        <f t="shared" si="119"/>
        <v>0</v>
      </c>
      <c r="AW141" s="12" t="str">
        <f t="shared" ca="1" si="120"/>
        <v/>
      </c>
      <c r="AX141" s="46" t="str">
        <f t="shared" ca="1" si="88"/>
        <v/>
      </c>
      <c r="AY141" s="46" t="str">
        <f t="shared" ca="1" si="121"/>
        <v/>
      </c>
      <c r="BA141" s="12">
        <f>Kontenplan!R143</f>
        <v>3</v>
      </c>
      <c r="BB141" s="12">
        <f>Kontenplan!S143</f>
        <v>2</v>
      </c>
      <c r="BC141" s="12">
        <f>Kontenplan!T143</f>
        <v>4</v>
      </c>
      <c r="BD141" s="170">
        <f>Kontenplan!U143</f>
        <v>4</v>
      </c>
      <c r="BF141" s="24">
        <f ca="1">SUM(AP$7:AP141)</f>
        <v>0</v>
      </c>
      <c r="BG141" s="46">
        <f ca="1">SUM(AQ$7:AQ140)</f>
        <v>0</v>
      </c>
      <c r="BH141" s="24">
        <f t="shared" ca="1" si="122"/>
        <v>0</v>
      </c>
      <c r="BI141" s="24"/>
      <c r="BJ141" s="24">
        <f ca="1">SUM(AX$7:AX141)</f>
        <v>0</v>
      </c>
      <c r="BK141" s="24">
        <f ca="1">SUM(AY$7:AY140)</f>
        <v>0</v>
      </c>
      <c r="BL141" s="24">
        <f t="shared" ca="1" si="123"/>
        <v>0</v>
      </c>
      <c r="BN141" s="24">
        <f ca="1">SUM(AB$7:AB141)</f>
        <v>0</v>
      </c>
      <c r="BO141" s="46">
        <f ca="1">SUM(AC$7:AC140)</f>
        <v>0</v>
      </c>
      <c r="BP141" s="24">
        <f t="shared" ca="1" si="124"/>
        <v>0</v>
      </c>
      <c r="BR141" s="24">
        <f ca="1">SUM(AH$7:AH141)</f>
        <v>0</v>
      </c>
      <c r="BS141" s="46">
        <f ca="1">SUM(AI$7:AI140)</f>
        <v>0</v>
      </c>
      <c r="BT141" s="24">
        <f t="shared" ca="1" si="125"/>
        <v>0</v>
      </c>
    </row>
    <row r="142" spans="1:72" s="12" customFormat="1">
      <c r="A142" s="202">
        <f>Kontenplan!C144</f>
        <v>0</v>
      </c>
      <c r="B142" s="224">
        <f>Kontenplan!E144</f>
        <v>0</v>
      </c>
      <c r="C142" s="225">
        <f>Kontenplan!F144</f>
        <v>0</v>
      </c>
      <c r="D142" s="43">
        <f>IF(B142=0,0,SUMIF(Journal!$F$7:$F$83,Calc!B142,Journal!$I$7:$I$83))</f>
        <v>0</v>
      </c>
      <c r="E142" s="15">
        <f>IF(B142=0,0,SUMIF(Journal!$G$7:$M216,Calc!B142,Journal!$I$7:$I$83))</f>
        <v>0</v>
      </c>
      <c r="F142" s="44">
        <f t="shared" si="89"/>
        <v>0</v>
      </c>
      <c r="G142" s="15">
        <f t="shared" si="90"/>
        <v>0</v>
      </c>
      <c r="H142" s="14" t="str">
        <f t="shared" si="91"/>
        <v xml:space="preserve"> </v>
      </c>
      <c r="I142" s="43" t="str">
        <f t="shared" si="92"/>
        <v xml:space="preserve"> </v>
      </c>
      <c r="J142" s="45" t="str">
        <f t="shared" si="93"/>
        <v xml:space="preserve"> </v>
      </c>
      <c r="K142" s="48" t="str">
        <f t="shared" si="94"/>
        <v xml:space="preserve"> </v>
      </c>
      <c r="L142" s="45" t="str">
        <f t="shared" si="95"/>
        <v xml:space="preserve"> </v>
      </c>
      <c r="M142" s="48" t="str">
        <f t="shared" si="96"/>
        <v xml:space="preserve"> </v>
      </c>
      <c r="N142" s="24"/>
      <c r="O142" s="12">
        <f t="shared" si="97"/>
        <v>10.025199999999941</v>
      </c>
      <c r="P142" s="12">
        <f t="shared" si="98"/>
        <v>9.0233999999999455</v>
      </c>
      <c r="Q142" s="12">
        <f t="shared" si="99"/>
        <v>31.01719999999996</v>
      </c>
      <c r="R142" s="12">
        <f t="shared" si="100"/>
        <v>29.011399999999973</v>
      </c>
      <c r="S142" s="12">
        <f t="shared" si="101"/>
        <v>0</v>
      </c>
      <c r="T142" s="12">
        <f t="shared" si="102"/>
        <v>0</v>
      </c>
      <c r="U142" s="43">
        <f>IF(OR(A142=Kontenplan!$C$3,A142=Kontenplan!$C$5),F142-G142,G142-F142)</f>
        <v>0</v>
      </c>
      <c r="V142" s="171">
        <f t="shared" si="85"/>
        <v>136</v>
      </c>
      <c r="W142" s="12">
        <f t="shared" si="86"/>
        <v>109</v>
      </c>
      <c r="X142" s="12">
        <f t="shared" si="87"/>
        <v>111</v>
      </c>
      <c r="Y142" s="12">
        <f>IF(Z142=0,VLOOKUP(W142,Kontenplan!$Y$9:$AA$551,3),"")</f>
        <v>0</v>
      </c>
      <c r="Z142" s="12">
        <f t="shared" si="103"/>
        <v>0</v>
      </c>
      <c r="AA142" s="12" t="str">
        <f t="shared" ca="1" si="104"/>
        <v/>
      </c>
      <c r="AB142" s="46" t="str">
        <f t="shared" ca="1" si="105"/>
        <v/>
      </c>
      <c r="AC142" s="46" t="str">
        <f t="shared" ca="1" si="106"/>
        <v/>
      </c>
      <c r="AD142" s="47"/>
      <c r="AE142" s="12">
        <f>IF(AF142=0,VLOOKUP(X142,Kontenplan!$Z$9:$AB$551,3),"")</f>
        <v>0</v>
      </c>
      <c r="AF142" s="47">
        <f t="shared" si="107"/>
        <v>0</v>
      </c>
      <c r="AG142" s="12" t="str">
        <f t="shared" ca="1" si="108"/>
        <v/>
      </c>
      <c r="AH142" s="46" t="str">
        <f t="shared" ca="1" si="109"/>
        <v/>
      </c>
      <c r="AI142" s="46" t="str">
        <f t="shared" ca="1" si="110"/>
        <v/>
      </c>
      <c r="AJ142" s="46"/>
      <c r="AK142" s="147">
        <f t="shared" ca="1" si="111"/>
        <v>2.0126000000000266</v>
      </c>
      <c r="AL142" s="147">
        <f t="shared" si="112"/>
        <v>2.0129000000000272</v>
      </c>
      <c r="AM142" s="12" t="str">
        <f>IF(V142&lt;=AO$3,VLOOKUP(V142,Kontenplan!$A$9:$D$278,4),"")</f>
        <v/>
      </c>
      <c r="AN142" s="12">
        <f t="shared" si="113"/>
        <v>0</v>
      </c>
      <c r="AO142" s="12" t="str">
        <f t="shared" ca="1" si="114"/>
        <v/>
      </c>
      <c r="AP142" s="46" t="str">
        <f t="shared" ca="1" si="115"/>
        <v/>
      </c>
      <c r="AQ142" s="46" t="str">
        <f t="shared" ca="1" si="116"/>
        <v/>
      </c>
      <c r="AR142" s="46"/>
      <c r="AS142" s="147">
        <f t="shared" ca="1" si="117"/>
        <v>3.0125000000000264</v>
      </c>
      <c r="AT142" s="147">
        <f t="shared" si="118"/>
        <v>2.0130000000000274</v>
      </c>
      <c r="AU142" s="47" t="str">
        <f>IF(V142&lt;=AW$3,VLOOKUP(AO$3+V142,Kontenplan!$A$9:$D$278,4),"")</f>
        <v/>
      </c>
      <c r="AV142" s="12">
        <f t="shared" si="119"/>
        <v>0</v>
      </c>
      <c r="AW142" s="12" t="str">
        <f t="shared" ca="1" si="120"/>
        <v/>
      </c>
      <c r="AX142" s="46" t="str">
        <f t="shared" ca="1" si="88"/>
        <v/>
      </c>
      <c r="AY142" s="46" t="str">
        <f t="shared" ca="1" si="121"/>
        <v/>
      </c>
      <c r="BA142" s="12">
        <f>Kontenplan!R144</f>
        <v>3</v>
      </c>
      <c r="BB142" s="12">
        <f>Kontenplan!S144</f>
        <v>2</v>
      </c>
      <c r="BC142" s="12">
        <f>Kontenplan!T144</f>
        <v>4</v>
      </c>
      <c r="BD142" s="170">
        <f>Kontenplan!U144</f>
        <v>4</v>
      </c>
      <c r="BF142" s="24">
        <f ca="1">SUM(AP$7:AP142)</f>
        <v>0</v>
      </c>
      <c r="BG142" s="46">
        <f ca="1">SUM(AQ$7:AQ141)</f>
        <v>0</v>
      </c>
      <c r="BH142" s="24">
        <f t="shared" ca="1" si="122"/>
        <v>0</v>
      </c>
      <c r="BI142" s="24"/>
      <c r="BJ142" s="24">
        <f ca="1">SUM(AX$7:AX142)</f>
        <v>0</v>
      </c>
      <c r="BK142" s="24">
        <f ca="1">SUM(AY$7:AY141)</f>
        <v>0</v>
      </c>
      <c r="BL142" s="24">
        <f t="shared" ca="1" si="123"/>
        <v>0</v>
      </c>
      <c r="BN142" s="24">
        <f ca="1">SUM(AB$7:AB142)</f>
        <v>0</v>
      </c>
      <c r="BO142" s="46">
        <f ca="1">SUM(AC$7:AC141)</f>
        <v>0</v>
      </c>
      <c r="BP142" s="24">
        <f t="shared" ca="1" si="124"/>
        <v>0</v>
      </c>
      <c r="BR142" s="24">
        <f ca="1">SUM(AH$7:AH142)</f>
        <v>0</v>
      </c>
      <c r="BS142" s="46">
        <f ca="1">SUM(AI$7:AI141)</f>
        <v>0</v>
      </c>
      <c r="BT142" s="24">
        <f t="shared" ca="1" si="125"/>
        <v>0</v>
      </c>
    </row>
    <row r="143" spans="1:72" s="12" customFormat="1">
      <c r="A143" s="202">
        <f>Kontenplan!C145</f>
        <v>0</v>
      </c>
      <c r="B143" s="224">
        <f>Kontenplan!E145</f>
        <v>0</v>
      </c>
      <c r="C143" s="225">
        <f>Kontenplan!F145</f>
        <v>0</v>
      </c>
      <c r="D143" s="43">
        <f>IF(B143=0,0,SUMIF(Journal!$F$7:$F$83,Calc!B143,Journal!$I$7:$I$83))</f>
        <v>0</v>
      </c>
      <c r="E143" s="15">
        <f>IF(B143=0,0,SUMIF(Journal!$G$7:$M217,Calc!B143,Journal!$I$7:$I$83))</f>
        <v>0</v>
      </c>
      <c r="F143" s="44">
        <f t="shared" si="89"/>
        <v>0</v>
      </c>
      <c r="G143" s="15">
        <f t="shared" si="90"/>
        <v>0</v>
      </c>
      <c r="H143" s="14" t="str">
        <f t="shared" si="91"/>
        <v xml:space="preserve"> </v>
      </c>
      <c r="I143" s="43" t="str">
        <f t="shared" si="92"/>
        <v xml:space="preserve"> </v>
      </c>
      <c r="J143" s="45" t="str">
        <f t="shared" si="93"/>
        <v xml:space="preserve"> </v>
      </c>
      <c r="K143" s="48" t="str">
        <f t="shared" si="94"/>
        <v xml:space="preserve"> </v>
      </c>
      <c r="L143" s="45" t="str">
        <f t="shared" si="95"/>
        <v xml:space="preserve"> </v>
      </c>
      <c r="M143" s="48" t="str">
        <f t="shared" si="96"/>
        <v xml:space="preserve"> </v>
      </c>
      <c r="N143" s="24"/>
      <c r="O143" s="12">
        <f t="shared" si="97"/>
        <v>10.025399999999941</v>
      </c>
      <c r="P143" s="12">
        <f t="shared" si="98"/>
        <v>9.023599999999945</v>
      </c>
      <c r="Q143" s="12">
        <f t="shared" si="99"/>
        <v>31.017399999999959</v>
      </c>
      <c r="R143" s="12">
        <f t="shared" si="100"/>
        <v>29.011599999999973</v>
      </c>
      <c r="S143" s="12">
        <f t="shared" si="101"/>
        <v>0</v>
      </c>
      <c r="T143" s="12">
        <f t="shared" si="102"/>
        <v>0</v>
      </c>
      <c r="U143" s="43">
        <f>IF(OR(A143=Kontenplan!$C$3,A143=Kontenplan!$C$5),F143-G143,G143-F143)</f>
        <v>0</v>
      </c>
      <c r="V143" s="171">
        <f t="shared" si="85"/>
        <v>137</v>
      </c>
      <c r="W143" s="12">
        <f t="shared" si="86"/>
        <v>110</v>
      </c>
      <c r="X143" s="12">
        <f t="shared" si="87"/>
        <v>112</v>
      </c>
      <c r="Y143" s="12">
        <f>IF(Z143=0,VLOOKUP(W143,Kontenplan!$Y$9:$AA$551,3),"")</f>
        <v>0</v>
      </c>
      <c r="Z143" s="12">
        <f t="shared" si="103"/>
        <v>0</v>
      </c>
      <c r="AA143" s="12" t="str">
        <f t="shared" ca="1" si="104"/>
        <v/>
      </c>
      <c r="AB143" s="46" t="str">
        <f t="shared" ca="1" si="105"/>
        <v/>
      </c>
      <c r="AC143" s="46" t="str">
        <f t="shared" ca="1" si="106"/>
        <v/>
      </c>
      <c r="AD143" s="47"/>
      <c r="AE143" s="12">
        <f>IF(AF143=0,VLOOKUP(X143,Kontenplan!$Z$9:$AB$551,3),"")</f>
        <v>0</v>
      </c>
      <c r="AF143" s="47">
        <f t="shared" si="107"/>
        <v>0</v>
      </c>
      <c r="AG143" s="12" t="str">
        <f t="shared" ca="1" si="108"/>
        <v/>
      </c>
      <c r="AH143" s="46" t="str">
        <f t="shared" ca="1" si="109"/>
        <v/>
      </c>
      <c r="AI143" s="46" t="str">
        <f t="shared" ca="1" si="110"/>
        <v/>
      </c>
      <c r="AJ143" s="46"/>
      <c r="AK143" s="147">
        <f t="shared" ca="1" si="111"/>
        <v>2.0127000000000268</v>
      </c>
      <c r="AL143" s="147">
        <f t="shared" si="112"/>
        <v>2.0130000000000274</v>
      </c>
      <c r="AM143" s="12" t="str">
        <f>IF(V143&lt;=AO$3,VLOOKUP(V143,Kontenplan!$A$9:$D$278,4),"")</f>
        <v/>
      </c>
      <c r="AN143" s="12">
        <f t="shared" si="113"/>
        <v>0</v>
      </c>
      <c r="AO143" s="12" t="str">
        <f t="shared" ca="1" si="114"/>
        <v/>
      </c>
      <c r="AP143" s="46" t="str">
        <f t="shared" ca="1" si="115"/>
        <v/>
      </c>
      <c r="AQ143" s="46" t="str">
        <f t="shared" ca="1" si="116"/>
        <v/>
      </c>
      <c r="AR143" s="46"/>
      <c r="AS143" s="147">
        <f t="shared" ca="1" si="117"/>
        <v>3.0126000000000266</v>
      </c>
      <c r="AT143" s="147">
        <f t="shared" si="118"/>
        <v>2.0131000000000276</v>
      </c>
      <c r="AU143" s="47" t="str">
        <f>IF(V143&lt;=AW$3,VLOOKUP(AO$3+V143,Kontenplan!$A$9:$D$278,4),"")</f>
        <v/>
      </c>
      <c r="AV143" s="12">
        <f t="shared" si="119"/>
        <v>0</v>
      </c>
      <c r="AW143" s="12" t="str">
        <f t="shared" ca="1" si="120"/>
        <v/>
      </c>
      <c r="AX143" s="46" t="str">
        <f t="shared" ca="1" si="88"/>
        <v/>
      </c>
      <c r="AY143" s="46" t="str">
        <f t="shared" ca="1" si="121"/>
        <v/>
      </c>
      <c r="BA143" s="12">
        <f>Kontenplan!R145</f>
        <v>3</v>
      </c>
      <c r="BB143" s="12">
        <f>Kontenplan!S145</f>
        <v>2</v>
      </c>
      <c r="BC143" s="12">
        <f>Kontenplan!T145</f>
        <v>4</v>
      </c>
      <c r="BD143" s="170">
        <f>Kontenplan!U145</f>
        <v>4</v>
      </c>
      <c r="BF143" s="24">
        <f ca="1">SUM(AP$7:AP143)</f>
        <v>0</v>
      </c>
      <c r="BG143" s="46">
        <f ca="1">SUM(AQ$7:AQ142)</f>
        <v>0</v>
      </c>
      <c r="BH143" s="24">
        <f t="shared" ca="1" si="122"/>
        <v>0</v>
      </c>
      <c r="BI143" s="24"/>
      <c r="BJ143" s="24">
        <f ca="1">SUM(AX$7:AX143)</f>
        <v>0</v>
      </c>
      <c r="BK143" s="24">
        <f ca="1">SUM(AY$7:AY142)</f>
        <v>0</v>
      </c>
      <c r="BL143" s="24">
        <f t="shared" ca="1" si="123"/>
        <v>0</v>
      </c>
      <c r="BN143" s="24">
        <f ca="1">SUM(AB$7:AB143)</f>
        <v>0</v>
      </c>
      <c r="BO143" s="46">
        <f ca="1">SUM(AC$7:AC142)</f>
        <v>0</v>
      </c>
      <c r="BP143" s="24">
        <f t="shared" ca="1" si="124"/>
        <v>0</v>
      </c>
      <c r="BR143" s="24">
        <f ca="1">SUM(AH$7:AH143)</f>
        <v>0</v>
      </c>
      <c r="BS143" s="46">
        <f ca="1">SUM(AI$7:AI142)</f>
        <v>0</v>
      </c>
      <c r="BT143" s="24">
        <f t="shared" ca="1" si="125"/>
        <v>0</v>
      </c>
    </row>
    <row r="144" spans="1:72" s="12" customFormat="1">
      <c r="A144" s="202">
        <f>Kontenplan!C146</f>
        <v>0</v>
      </c>
      <c r="B144" s="224">
        <f>Kontenplan!E146</f>
        <v>0</v>
      </c>
      <c r="C144" s="225">
        <f>Kontenplan!F146</f>
        <v>0</v>
      </c>
      <c r="D144" s="43">
        <f>IF(B144=0,0,SUMIF(Journal!$F$7:$F$83,Calc!B144,Journal!$I$7:$I$83))</f>
        <v>0</v>
      </c>
      <c r="E144" s="15">
        <f>IF(B144=0,0,SUMIF(Journal!$G$7:$M218,Calc!B144,Journal!$I$7:$I$83))</f>
        <v>0</v>
      </c>
      <c r="F144" s="44">
        <f t="shared" si="89"/>
        <v>0</v>
      </c>
      <c r="G144" s="15">
        <f t="shared" si="90"/>
        <v>0</v>
      </c>
      <c r="H144" s="14" t="str">
        <f t="shared" si="91"/>
        <v xml:space="preserve"> </v>
      </c>
      <c r="I144" s="43" t="str">
        <f t="shared" si="92"/>
        <v xml:space="preserve"> </v>
      </c>
      <c r="J144" s="45" t="str">
        <f t="shared" si="93"/>
        <v xml:space="preserve"> </v>
      </c>
      <c r="K144" s="48" t="str">
        <f t="shared" si="94"/>
        <v xml:space="preserve"> </v>
      </c>
      <c r="L144" s="45" t="str">
        <f t="shared" si="95"/>
        <v xml:space="preserve"> </v>
      </c>
      <c r="M144" s="48" t="str">
        <f t="shared" si="96"/>
        <v xml:space="preserve"> </v>
      </c>
      <c r="N144" s="24"/>
      <c r="O144" s="12">
        <f t="shared" si="97"/>
        <v>10.02559999999994</v>
      </c>
      <c r="P144" s="12">
        <f t="shared" si="98"/>
        <v>9.0237999999999445</v>
      </c>
      <c r="Q144" s="12">
        <f t="shared" si="99"/>
        <v>31.017599999999959</v>
      </c>
      <c r="R144" s="12">
        <f t="shared" si="100"/>
        <v>29.011799999999972</v>
      </c>
      <c r="S144" s="12">
        <f t="shared" si="101"/>
        <v>0</v>
      </c>
      <c r="T144" s="12">
        <f t="shared" si="102"/>
        <v>0</v>
      </c>
      <c r="U144" s="43">
        <f>IF(OR(A144=Kontenplan!$C$3,A144=Kontenplan!$C$5),F144-G144,G144-F144)</f>
        <v>0</v>
      </c>
      <c r="V144" s="171">
        <f t="shared" si="85"/>
        <v>138</v>
      </c>
      <c r="W144" s="12">
        <f t="shared" si="86"/>
        <v>111</v>
      </c>
      <c r="X144" s="12">
        <f t="shared" si="87"/>
        <v>113</v>
      </c>
      <c r="Y144" s="12">
        <f>IF(Z144=0,VLOOKUP(W144,Kontenplan!$Y$9:$AA$551,3),"")</f>
        <v>0</v>
      </c>
      <c r="Z144" s="12">
        <f t="shared" si="103"/>
        <v>0</v>
      </c>
      <c r="AA144" s="12" t="str">
        <f t="shared" ca="1" si="104"/>
        <v/>
      </c>
      <c r="AB144" s="46" t="str">
        <f t="shared" ca="1" si="105"/>
        <v/>
      </c>
      <c r="AC144" s="46" t="str">
        <f t="shared" ca="1" si="106"/>
        <v/>
      </c>
      <c r="AD144" s="47"/>
      <c r="AE144" s="12">
        <f>IF(AF144=0,VLOOKUP(X144,Kontenplan!$Z$9:$AB$551,3),"")</f>
        <v>0</v>
      </c>
      <c r="AF144" s="47">
        <f t="shared" si="107"/>
        <v>0</v>
      </c>
      <c r="AG144" s="12" t="str">
        <f t="shared" ca="1" si="108"/>
        <v/>
      </c>
      <c r="AH144" s="46" t="str">
        <f t="shared" ca="1" si="109"/>
        <v/>
      </c>
      <c r="AI144" s="46" t="str">
        <f t="shared" ca="1" si="110"/>
        <v/>
      </c>
      <c r="AJ144" s="46"/>
      <c r="AK144" s="147">
        <f t="shared" ca="1" si="111"/>
        <v>2.012800000000027</v>
      </c>
      <c r="AL144" s="147">
        <f t="shared" si="112"/>
        <v>2.0131000000000276</v>
      </c>
      <c r="AM144" s="12" t="str">
        <f>IF(V144&lt;=AO$3,VLOOKUP(V144,Kontenplan!$A$9:$D$278,4),"")</f>
        <v/>
      </c>
      <c r="AN144" s="12">
        <f t="shared" si="113"/>
        <v>0</v>
      </c>
      <c r="AO144" s="12" t="str">
        <f t="shared" ca="1" si="114"/>
        <v/>
      </c>
      <c r="AP144" s="46" t="str">
        <f t="shared" ca="1" si="115"/>
        <v/>
      </c>
      <c r="AQ144" s="46" t="str">
        <f t="shared" ca="1" si="116"/>
        <v/>
      </c>
      <c r="AR144" s="46"/>
      <c r="AS144" s="147">
        <f t="shared" ca="1" si="117"/>
        <v>3.0127000000000268</v>
      </c>
      <c r="AT144" s="147">
        <f t="shared" si="118"/>
        <v>2.0132000000000279</v>
      </c>
      <c r="AU144" s="47" t="str">
        <f>IF(V144&lt;=AW$3,VLOOKUP(AO$3+V144,Kontenplan!$A$9:$D$278,4),"")</f>
        <v/>
      </c>
      <c r="AV144" s="12">
        <f t="shared" si="119"/>
        <v>0</v>
      </c>
      <c r="AW144" s="12" t="str">
        <f t="shared" ca="1" si="120"/>
        <v/>
      </c>
      <c r="AX144" s="46" t="str">
        <f t="shared" ca="1" si="88"/>
        <v/>
      </c>
      <c r="AY144" s="46" t="str">
        <f t="shared" ca="1" si="121"/>
        <v/>
      </c>
      <c r="BA144" s="12">
        <f>Kontenplan!R146</f>
        <v>3</v>
      </c>
      <c r="BB144" s="12">
        <f>Kontenplan!S146</f>
        <v>2</v>
      </c>
      <c r="BC144" s="12">
        <f>Kontenplan!T146</f>
        <v>4</v>
      </c>
      <c r="BD144" s="170">
        <f>Kontenplan!U146</f>
        <v>4</v>
      </c>
      <c r="BF144" s="24">
        <f ca="1">SUM(AP$7:AP144)</f>
        <v>0</v>
      </c>
      <c r="BG144" s="46">
        <f ca="1">SUM(AQ$7:AQ143)</f>
        <v>0</v>
      </c>
      <c r="BH144" s="24">
        <f t="shared" ca="1" si="122"/>
        <v>0</v>
      </c>
      <c r="BI144" s="24"/>
      <c r="BJ144" s="24">
        <f ca="1">SUM(AX$7:AX144)</f>
        <v>0</v>
      </c>
      <c r="BK144" s="24">
        <f ca="1">SUM(AY$7:AY143)</f>
        <v>0</v>
      </c>
      <c r="BL144" s="24">
        <f t="shared" ca="1" si="123"/>
        <v>0</v>
      </c>
      <c r="BN144" s="24">
        <f ca="1">SUM(AB$7:AB144)</f>
        <v>0</v>
      </c>
      <c r="BO144" s="46">
        <f ca="1">SUM(AC$7:AC143)</f>
        <v>0</v>
      </c>
      <c r="BP144" s="24">
        <f t="shared" ca="1" si="124"/>
        <v>0</v>
      </c>
      <c r="BR144" s="24">
        <f ca="1">SUM(AH$7:AH144)</f>
        <v>0</v>
      </c>
      <c r="BS144" s="46">
        <f ca="1">SUM(AI$7:AI143)</f>
        <v>0</v>
      </c>
      <c r="BT144" s="24">
        <f t="shared" ca="1" si="125"/>
        <v>0</v>
      </c>
    </row>
    <row r="145" spans="1:72" s="12" customFormat="1">
      <c r="A145" s="202">
        <f>Kontenplan!C147</f>
        <v>0</v>
      </c>
      <c r="B145" s="224">
        <f>Kontenplan!E147</f>
        <v>0</v>
      </c>
      <c r="C145" s="225">
        <f>Kontenplan!F147</f>
        <v>0</v>
      </c>
      <c r="D145" s="43">
        <f>IF(B145=0,0,SUMIF(Journal!$F$7:$F$83,Calc!B145,Journal!$I$7:$I$83))</f>
        <v>0</v>
      </c>
      <c r="E145" s="15">
        <f>IF(B145=0,0,SUMIF(Journal!$G$7:$M219,Calc!B145,Journal!$I$7:$I$83))</f>
        <v>0</v>
      </c>
      <c r="F145" s="44">
        <f t="shared" si="89"/>
        <v>0</v>
      </c>
      <c r="G145" s="15">
        <f t="shared" si="90"/>
        <v>0</v>
      </c>
      <c r="H145" s="14" t="str">
        <f t="shared" si="91"/>
        <v xml:space="preserve"> </v>
      </c>
      <c r="I145" s="43" t="str">
        <f t="shared" si="92"/>
        <v xml:space="preserve"> </v>
      </c>
      <c r="J145" s="45" t="str">
        <f t="shared" si="93"/>
        <v xml:space="preserve"> </v>
      </c>
      <c r="K145" s="48" t="str">
        <f t="shared" si="94"/>
        <v xml:space="preserve"> </v>
      </c>
      <c r="L145" s="45" t="str">
        <f t="shared" si="95"/>
        <v xml:space="preserve"> </v>
      </c>
      <c r="M145" s="48" t="str">
        <f t="shared" si="96"/>
        <v xml:space="preserve"> </v>
      </c>
      <c r="N145" s="24"/>
      <c r="O145" s="12">
        <f t="shared" si="97"/>
        <v>10.02579999999994</v>
      </c>
      <c r="P145" s="12">
        <f t="shared" si="98"/>
        <v>9.0239999999999441</v>
      </c>
      <c r="Q145" s="12">
        <f t="shared" si="99"/>
        <v>31.017799999999959</v>
      </c>
      <c r="R145" s="12">
        <f t="shared" si="100"/>
        <v>29.011999999999972</v>
      </c>
      <c r="S145" s="12">
        <f t="shared" si="101"/>
        <v>0</v>
      </c>
      <c r="T145" s="12">
        <f t="shared" si="102"/>
        <v>0</v>
      </c>
      <c r="U145" s="43">
        <f>IF(OR(A145=Kontenplan!$C$3,A145=Kontenplan!$C$5),F145-G145,G145-F145)</f>
        <v>0</v>
      </c>
      <c r="V145" s="171">
        <f t="shared" si="85"/>
        <v>139</v>
      </c>
      <c r="W145" s="12">
        <f t="shared" si="86"/>
        <v>112</v>
      </c>
      <c r="X145" s="12">
        <f t="shared" si="87"/>
        <v>114</v>
      </c>
      <c r="Y145" s="12">
        <f>IF(Z145=0,VLOOKUP(W145,Kontenplan!$Y$9:$AA$551,3),"")</f>
        <v>0</v>
      </c>
      <c r="Z145" s="12">
        <f t="shared" si="103"/>
        <v>0</v>
      </c>
      <c r="AA145" s="12" t="str">
        <f t="shared" ca="1" si="104"/>
        <v/>
      </c>
      <c r="AB145" s="46" t="str">
        <f t="shared" ca="1" si="105"/>
        <v/>
      </c>
      <c r="AC145" s="46" t="str">
        <f t="shared" ca="1" si="106"/>
        <v/>
      </c>
      <c r="AD145" s="47"/>
      <c r="AE145" s="12">
        <f>IF(AF145=0,VLOOKUP(X145,Kontenplan!$Z$9:$AB$551,3),"")</f>
        <v>0</v>
      </c>
      <c r="AF145" s="47">
        <f t="shared" si="107"/>
        <v>0</v>
      </c>
      <c r="AG145" s="12" t="str">
        <f t="shared" ca="1" si="108"/>
        <v/>
      </c>
      <c r="AH145" s="46" t="str">
        <f t="shared" ca="1" si="109"/>
        <v/>
      </c>
      <c r="AI145" s="46" t="str">
        <f t="shared" ca="1" si="110"/>
        <v/>
      </c>
      <c r="AJ145" s="46"/>
      <c r="AK145" s="147">
        <f t="shared" ca="1" si="111"/>
        <v>2.0129000000000272</v>
      </c>
      <c r="AL145" s="147">
        <f t="shared" si="112"/>
        <v>2.0132000000000279</v>
      </c>
      <c r="AM145" s="12" t="str">
        <f>IF(V145&lt;=AO$3,VLOOKUP(V145,Kontenplan!$A$9:$D$278,4),"")</f>
        <v/>
      </c>
      <c r="AN145" s="12">
        <f t="shared" si="113"/>
        <v>0</v>
      </c>
      <c r="AO145" s="12" t="str">
        <f t="shared" ca="1" si="114"/>
        <v/>
      </c>
      <c r="AP145" s="46" t="str">
        <f t="shared" ca="1" si="115"/>
        <v/>
      </c>
      <c r="AQ145" s="46" t="str">
        <f t="shared" ca="1" si="116"/>
        <v/>
      </c>
      <c r="AR145" s="46"/>
      <c r="AS145" s="147">
        <f t="shared" ca="1" si="117"/>
        <v>3.012800000000027</v>
      </c>
      <c r="AT145" s="147">
        <f t="shared" si="118"/>
        <v>2.0133000000000281</v>
      </c>
      <c r="AU145" s="47" t="str">
        <f>IF(V145&lt;=AW$3,VLOOKUP(AO$3+V145,Kontenplan!$A$9:$D$278,4),"")</f>
        <v/>
      </c>
      <c r="AV145" s="12">
        <f t="shared" si="119"/>
        <v>0</v>
      </c>
      <c r="AW145" s="12" t="str">
        <f t="shared" ca="1" si="120"/>
        <v/>
      </c>
      <c r="AX145" s="46" t="str">
        <f t="shared" ca="1" si="88"/>
        <v/>
      </c>
      <c r="AY145" s="46" t="str">
        <f t="shared" ca="1" si="121"/>
        <v/>
      </c>
      <c r="BA145" s="12">
        <f>Kontenplan!R147</f>
        <v>3</v>
      </c>
      <c r="BB145" s="12">
        <f>Kontenplan!S147</f>
        <v>2</v>
      </c>
      <c r="BC145" s="12">
        <f>Kontenplan!T147</f>
        <v>4</v>
      </c>
      <c r="BD145" s="170">
        <f>Kontenplan!U147</f>
        <v>4</v>
      </c>
      <c r="BF145" s="24">
        <f ca="1">SUM(AP$7:AP145)</f>
        <v>0</v>
      </c>
      <c r="BG145" s="46">
        <f ca="1">SUM(AQ$7:AQ144)</f>
        <v>0</v>
      </c>
      <c r="BH145" s="24">
        <f t="shared" ca="1" si="122"/>
        <v>0</v>
      </c>
      <c r="BI145" s="24"/>
      <c r="BJ145" s="24">
        <f ca="1">SUM(AX$7:AX145)</f>
        <v>0</v>
      </c>
      <c r="BK145" s="24">
        <f ca="1">SUM(AY$7:AY144)</f>
        <v>0</v>
      </c>
      <c r="BL145" s="24">
        <f t="shared" ca="1" si="123"/>
        <v>0</v>
      </c>
      <c r="BN145" s="24">
        <f ca="1">SUM(AB$7:AB145)</f>
        <v>0</v>
      </c>
      <c r="BO145" s="46">
        <f ca="1">SUM(AC$7:AC144)</f>
        <v>0</v>
      </c>
      <c r="BP145" s="24">
        <f t="shared" ca="1" si="124"/>
        <v>0</v>
      </c>
      <c r="BR145" s="24">
        <f ca="1">SUM(AH$7:AH145)</f>
        <v>0</v>
      </c>
      <c r="BS145" s="46">
        <f ca="1">SUM(AI$7:AI144)</f>
        <v>0</v>
      </c>
      <c r="BT145" s="24">
        <f t="shared" ca="1" si="125"/>
        <v>0</v>
      </c>
    </row>
    <row r="146" spans="1:72" s="12" customFormat="1">
      <c r="A146" s="202">
        <f>Kontenplan!C148</f>
        <v>0</v>
      </c>
      <c r="B146" s="224">
        <f>Kontenplan!E148</f>
        <v>0</v>
      </c>
      <c r="C146" s="225">
        <f>Kontenplan!F148</f>
        <v>0</v>
      </c>
      <c r="D146" s="43">
        <f>IF(B146=0,0,SUMIF(Journal!$F$7:$F$83,Calc!B146,Journal!$I$7:$I$83))</f>
        <v>0</v>
      </c>
      <c r="E146" s="15">
        <f>IF(B146=0,0,SUMIF(Journal!$G$7:$M220,Calc!B146,Journal!$I$7:$I$83))</f>
        <v>0</v>
      </c>
      <c r="F146" s="44">
        <f t="shared" si="89"/>
        <v>0</v>
      </c>
      <c r="G146" s="15">
        <f t="shared" si="90"/>
        <v>0</v>
      </c>
      <c r="H146" s="14" t="str">
        <f t="shared" si="91"/>
        <v xml:space="preserve"> </v>
      </c>
      <c r="I146" s="43" t="str">
        <f t="shared" si="92"/>
        <v xml:space="preserve"> </v>
      </c>
      <c r="J146" s="45" t="str">
        <f t="shared" si="93"/>
        <v xml:space="preserve"> </v>
      </c>
      <c r="K146" s="48" t="str">
        <f t="shared" si="94"/>
        <v xml:space="preserve"> </v>
      </c>
      <c r="L146" s="45" t="str">
        <f t="shared" si="95"/>
        <v xml:space="preserve"> </v>
      </c>
      <c r="M146" s="48" t="str">
        <f t="shared" si="96"/>
        <v xml:space="preserve"> </v>
      </c>
      <c r="N146" s="24"/>
      <c r="O146" s="12">
        <f t="shared" si="97"/>
        <v>10.025999999999939</v>
      </c>
      <c r="P146" s="12">
        <f t="shared" si="98"/>
        <v>9.0241999999999436</v>
      </c>
      <c r="Q146" s="12">
        <f t="shared" si="99"/>
        <v>31.017999999999958</v>
      </c>
      <c r="R146" s="12">
        <f t="shared" si="100"/>
        <v>29.012199999999972</v>
      </c>
      <c r="S146" s="12">
        <f t="shared" si="101"/>
        <v>0</v>
      </c>
      <c r="T146" s="12">
        <f t="shared" si="102"/>
        <v>0</v>
      </c>
      <c r="U146" s="43">
        <f>IF(OR(A146=Kontenplan!$C$3,A146=Kontenplan!$C$5),F146-G146,G146-F146)</f>
        <v>0</v>
      </c>
      <c r="V146" s="171">
        <f t="shared" si="85"/>
        <v>140</v>
      </c>
      <c r="W146" s="12">
        <f t="shared" si="86"/>
        <v>113</v>
      </c>
      <c r="X146" s="12">
        <f t="shared" si="87"/>
        <v>115</v>
      </c>
      <c r="Y146" s="12">
        <f>IF(Z146=0,VLOOKUP(W146,Kontenplan!$Y$9:$AA$551,3),"")</f>
        <v>0</v>
      </c>
      <c r="Z146" s="12">
        <f t="shared" si="103"/>
        <v>0</v>
      </c>
      <c r="AA146" s="12" t="str">
        <f t="shared" ca="1" si="104"/>
        <v/>
      </c>
      <c r="AB146" s="46" t="str">
        <f t="shared" ca="1" si="105"/>
        <v/>
      </c>
      <c r="AC146" s="46" t="str">
        <f t="shared" ca="1" si="106"/>
        <v/>
      </c>
      <c r="AD146" s="47"/>
      <c r="AE146" s="12">
        <f>IF(AF146=0,VLOOKUP(X146,Kontenplan!$Z$9:$AB$551,3),"")</f>
        <v>0</v>
      </c>
      <c r="AF146" s="47">
        <f t="shared" si="107"/>
        <v>0</v>
      </c>
      <c r="AG146" s="12" t="str">
        <f t="shared" ca="1" si="108"/>
        <v/>
      </c>
      <c r="AH146" s="46" t="str">
        <f t="shared" ca="1" si="109"/>
        <v/>
      </c>
      <c r="AI146" s="46" t="str">
        <f t="shared" ca="1" si="110"/>
        <v/>
      </c>
      <c r="AJ146" s="46"/>
      <c r="AK146" s="147">
        <f t="shared" ca="1" si="111"/>
        <v>2.0130000000000274</v>
      </c>
      <c r="AL146" s="147">
        <f t="shared" si="112"/>
        <v>2.0133000000000281</v>
      </c>
      <c r="AM146" s="12" t="str">
        <f>IF(V146&lt;=AO$3,VLOOKUP(V146,Kontenplan!$A$9:$D$278,4),"")</f>
        <v/>
      </c>
      <c r="AN146" s="12">
        <f t="shared" si="113"/>
        <v>0</v>
      </c>
      <c r="AO146" s="12" t="str">
        <f t="shared" ca="1" si="114"/>
        <v/>
      </c>
      <c r="AP146" s="46" t="str">
        <f t="shared" ca="1" si="115"/>
        <v/>
      </c>
      <c r="AQ146" s="46" t="str">
        <f t="shared" ca="1" si="116"/>
        <v/>
      </c>
      <c r="AR146" s="46"/>
      <c r="AS146" s="147">
        <f t="shared" ca="1" si="117"/>
        <v>3.0129000000000272</v>
      </c>
      <c r="AT146" s="147">
        <f t="shared" si="118"/>
        <v>2.0134000000000283</v>
      </c>
      <c r="AU146" s="47" t="str">
        <f>IF(V146&lt;=AW$3,VLOOKUP(AO$3+V146,Kontenplan!$A$9:$D$278,4),"")</f>
        <v/>
      </c>
      <c r="AV146" s="12">
        <f t="shared" si="119"/>
        <v>0</v>
      </c>
      <c r="AW146" s="12" t="str">
        <f t="shared" ca="1" si="120"/>
        <v/>
      </c>
      <c r="AX146" s="46" t="str">
        <f t="shared" ca="1" si="88"/>
        <v/>
      </c>
      <c r="AY146" s="46" t="str">
        <f t="shared" ca="1" si="121"/>
        <v/>
      </c>
      <c r="BA146" s="12">
        <f>Kontenplan!R148</f>
        <v>3</v>
      </c>
      <c r="BB146" s="12">
        <f>Kontenplan!S148</f>
        <v>2</v>
      </c>
      <c r="BC146" s="12">
        <f>Kontenplan!T148</f>
        <v>4</v>
      </c>
      <c r="BD146" s="170">
        <f>Kontenplan!U148</f>
        <v>4</v>
      </c>
      <c r="BF146" s="24">
        <f ca="1">SUM(AP$7:AP146)</f>
        <v>0</v>
      </c>
      <c r="BG146" s="46">
        <f ca="1">SUM(AQ$7:AQ145)</f>
        <v>0</v>
      </c>
      <c r="BH146" s="24">
        <f t="shared" ca="1" si="122"/>
        <v>0</v>
      </c>
      <c r="BI146" s="24"/>
      <c r="BJ146" s="24">
        <f ca="1">SUM(AX$7:AX146)</f>
        <v>0</v>
      </c>
      <c r="BK146" s="24">
        <f ca="1">SUM(AY$7:AY145)</f>
        <v>0</v>
      </c>
      <c r="BL146" s="24">
        <f t="shared" ca="1" si="123"/>
        <v>0</v>
      </c>
      <c r="BN146" s="24">
        <f ca="1">SUM(AB$7:AB146)</f>
        <v>0</v>
      </c>
      <c r="BO146" s="46">
        <f ca="1">SUM(AC$7:AC145)</f>
        <v>0</v>
      </c>
      <c r="BP146" s="24">
        <f t="shared" ca="1" si="124"/>
        <v>0</v>
      </c>
      <c r="BR146" s="24">
        <f ca="1">SUM(AH$7:AH146)</f>
        <v>0</v>
      </c>
      <c r="BS146" s="46">
        <f ca="1">SUM(AI$7:AI145)</f>
        <v>0</v>
      </c>
      <c r="BT146" s="24">
        <f t="shared" ca="1" si="125"/>
        <v>0</v>
      </c>
    </row>
    <row r="147" spans="1:72" s="12" customFormat="1">
      <c r="A147" s="202">
        <f>Kontenplan!C149</f>
        <v>0</v>
      </c>
      <c r="B147" s="224">
        <f>Kontenplan!E149</f>
        <v>0</v>
      </c>
      <c r="C147" s="225">
        <f>Kontenplan!F149</f>
        <v>0</v>
      </c>
      <c r="D147" s="43">
        <f>IF(B147=0,0,SUMIF(Journal!$F$7:$F$83,Calc!B147,Journal!$I$7:$I$83))</f>
        <v>0</v>
      </c>
      <c r="E147" s="15">
        <f>IF(B147=0,0,SUMIF(Journal!$G$7:$M221,Calc!B147,Journal!$I$7:$I$83))</f>
        <v>0</v>
      </c>
      <c r="F147" s="44">
        <f t="shared" si="89"/>
        <v>0</v>
      </c>
      <c r="G147" s="15">
        <f t="shared" si="90"/>
        <v>0</v>
      </c>
      <c r="H147" s="14" t="str">
        <f t="shared" si="91"/>
        <v xml:space="preserve"> </v>
      </c>
      <c r="I147" s="43" t="str">
        <f t="shared" si="92"/>
        <v xml:space="preserve"> </v>
      </c>
      <c r="J147" s="45" t="str">
        <f t="shared" si="93"/>
        <v xml:space="preserve"> </v>
      </c>
      <c r="K147" s="48" t="str">
        <f t="shared" si="94"/>
        <v xml:space="preserve"> </v>
      </c>
      <c r="L147" s="45" t="str">
        <f t="shared" si="95"/>
        <v xml:space="preserve"> </v>
      </c>
      <c r="M147" s="48" t="str">
        <f t="shared" si="96"/>
        <v xml:space="preserve"> </v>
      </c>
      <c r="N147" s="24"/>
      <c r="O147" s="12">
        <f t="shared" si="97"/>
        <v>10.026199999999939</v>
      </c>
      <c r="P147" s="12">
        <f t="shared" si="98"/>
        <v>9.0243999999999431</v>
      </c>
      <c r="Q147" s="12">
        <f t="shared" si="99"/>
        <v>31.018199999999958</v>
      </c>
      <c r="R147" s="12">
        <f t="shared" si="100"/>
        <v>29.012399999999971</v>
      </c>
      <c r="S147" s="12">
        <f t="shared" si="101"/>
        <v>0</v>
      </c>
      <c r="T147" s="12">
        <f t="shared" si="102"/>
        <v>0</v>
      </c>
      <c r="U147" s="43">
        <f>IF(OR(A147=Kontenplan!$C$3,A147=Kontenplan!$C$5),F147-G147,G147-F147)</f>
        <v>0</v>
      </c>
      <c r="V147" s="171">
        <f t="shared" si="85"/>
        <v>141</v>
      </c>
      <c r="W147" s="12">
        <f t="shared" si="86"/>
        <v>114</v>
      </c>
      <c r="X147" s="12">
        <f t="shared" si="87"/>
        <v>116</v>
      </c>
      <c r="Y147" s="12">
        <f>IF(Z147=0,VLOOKUP(W147,Kontenplan!$Y$9:$AA$551,3),"")</f>
        <v>0</v>
      </c>
      <c r="Z147" s="12">
        <f t="shared" si="103"/>
        <v>0</v>
      </c>
      <c r="AA147" s="12" t="str">
        <f t="shared" ca="1" si="104"/>
        <v/>
      </c>
      <c r="AB147" s="46" t="str">
        <f t="shared" ca="1" si="105"/>
        <v/>
      </c>
      <c r="AC147" s="46" t="str">
        <f t="shared" ca="1" si="106"/>
        <v/>
      </c>
      <c r="AD147" s="47"/>
      <c r="AE147" s="12">
        <f>IF(AF147=0,VLOOKUP(X147,Kontenplan!$Z$9:$AB$551,3),"")</f>
        <v>0</v>
      </c>
      <c r="AF147" s="47">
        <f t="shared" si="107"/>
        <v>0</v>
      </c>
      <c r="AG147" s="12" t="str">
        <f t="shared" ca="1" si="108"/>
        <v/>
      </c>
      <c r="AH147" s="46" t="str">
        <f t="shared" ca="1" si="109"/>
        <v/>
      </c>
      <c r="AI147" s="46" t="str">
        <f t="shared" ca="1" si="110"/>
        <v/>
      </c>
      <c r="AJ147" s="46"/>
      <c r="AK147" s="147">
        <f t="shared" ca="1" si="111"/>
        <v>2.0131000000000276</v>
      </c>
      <c r="AL147" s="147">
        <f t="shared" si="112"/>
        <v>2.0134000000000283</v>
      </c>
      <c r="AM147" s="12" t="str">
        <f>IF(V147&lt;=AO$3,VLOOKUP(V147,Kontenplan!$A$9:$D$278,4),"")</f>
        <v/>
      </c>
      <c r="AN147" s="12">
        <f t="shared" si="113"/>
        <v>0</v>
      </c>
      <c r="AO147" s="12" t="str">
        <f t="shared" ca="1" si="114"/>
        <v/>
      </c>
      <c r="AP147" s="46" t="str">
        <f t="shared" ca="1" si="115"/>
        <v/>
      </c>
      <c r="AQ147" s="46" t="str">
        <f t="shared" ca="1" si="116"/>
        <v/>
      </c>
      <c r="AR147" s="46"/>
      <c r="AS147" s="147">
        <f t="shared" ca="1" si="117"/>
        <v>3.0130000000000274</v>
      </c>
      <c r="AT147" s="147">
        <f t="shared" si="118"/>
        <v>2.0135000000000285</v>
      </c>
      <c r="AU147" s="47" t="str">
        <f>IF(V147&lt;=AW$3,VLOOKUP(AO$3+V147,Kontenplan!$A$9:$D$278,4),"")</f>
        <v/>
      </c>
      <c r="AV147" s="12">
        <f t="shared" si="119"/>
        <v>0</v>
      </c>
      <c r="AW147" s="12" t="str">
        <f t="shared" ca="1" si="120"/>
        <v/>
      </c>
      <c r="AX147" s="46" t="str">
        <f t="shared" ca="1" si="88"/>
        <v/>
      </c>
      <c r="AY147" s="46" t="str">
        <f t="shared" ca="1" si="121"/>
        <v/>
      </c>
      <c r="BA147" s="12">
        <f>Kontenplan!R149</f>
        <v>3</v>
      </c>
      <c r="BB147" s="12">
        <f>Kontenplan!S149</f>
        <v>2</v>
      </c>
      <c r="BC147" s="12">
        <f>Kontenplan!T149</f>
        <v>4</v>
      </c>
      <c r="BD147" s="170">
        <f>Kontenplan!U149</f>
        <v>4</v>
      </c>
      <c r="BF147" s="24">
        <f ca="1">SUM(AP$7:AP147)</f>
        <v>0</v>
      </c>
      <c r="BG147" s="46">
        <f ca="1">SUM(AQ$7:AQ146)</f>
        <v>0</v>
      </c>
      <c r="BH147" s="24">
        <f t="shared" ca="1" si="122"/>
        <v>0</v>
      </c>
      <c r="BI147" s="24"/>
      <c r="BJ147" s="24">
        <f ca="1">SUM(AX$7:AX147)</f>
        <v>0</v>
      </c>
      <c r="BK147" s="24">
        <f ca="1">SUM(AY$7:AY146)</f>
        <v>0</v>
      </c>
      <c r="BL147" s="24">
        <f t="shared" ca="1" si="123"/>
        <v>0</v>
      </c>
      <c r="BN147" s="24">
        <f ca="1">SUM(AB$7:AB147)</f>
        <v>0</v>
      </c>
      <c r="BO147" s="46">
        <f ca="1">SUM(AC$7:AC146)</f>
        <v>0</v>
      </c>
      <c r="BP147" s="24">
        <f t="shared" ca="1" si="124"/>
        <v>0</v>
      </c>
      <c r="BR147" s="24">
        <f ca="1">SUM(AH$7:AH147)</f>
        <v>0</v>
      </c>
      <c r="BS147" s="46">
        <f ca="1">SUM(AI$7:AI146)</f>
        <v>0</v>
      </c>
      <c r="BT147" s="24">
        <f t="shared" ca="1" si="125"/>
        <v>0</v>
      </c>
    </row>
    <row r="148" spans="1:72" s="12" customFormat="1">
      <c r="A148" s="202">
        <f>Kontenplan!C150</f>
        <v>0</v>
      </c>
      <c r="B148" s="224">
        <f>Kontenplan!E150</f>
        <v>0</v>
      </c>
      <c r="C148" s="225">
        <f>Kontenplan!F150</f>
        <v>0</v>
      </c>
      <c r="D148" s="43">
        <f>IF(B148=0,0,SUMIF(Journal!$F$7:$F$83,Calc!B148,Journal!$I$7:$I$83))</f>
        <v>0</v>
      </c>
      <c r="E148" s="15">
        <f>IF(B148=0,0,SUMIF(Journal!$G$7:$M222,Calc!B148,Journal!$I$7:$I$83))</f>
        <v>0</v>
      </c>
      <c r="F148" s="44">
        <f t="shared" si="89"/>
        <v>0</v>
      </c>
      <c r="G148" s="15">
        <f t="shared" si="90"/>
        <v>0</v>
      </c>
      <c r="H148" s="14" t="str">
        <f t="shared" si="91"/>
        <v xml:space="preserve"> </v>
      </c>
      <c r="I148" s="43" t="str">
        <f t="shared" si="92"/>
        <v xml:space="preserve"> </v>
      </c>
      <c r="J148" s="45" t="str">
        <f t="shared" si="93"/>
        <v xml:space="preserve"> </v>
      </c>
      <c r="K148" s="48" t="str">
        <f t="shared" si="94"/>
        <v xml:space="preserve"> </v>
      </c>
      <c r="L148" s="45" t="str">
        <f t="shared" si="95"/>
        <v xml:space="preserve"> </v>
      </c>
      <c r="M148" s="48" t="str">
        <f t="shared" si="96"/>
        <v xml:space="preserve"> </v>
      </c>
      <c r="N148" s="24"/>
      <c r="O148" s="12">
        <f t="shared" si="97"/>
        <v>10.026399999999938</v>
      </c>
      <c r="P148" s="12">
        <f t="shared" si="98"/>
        <v>9.0245999999999427</v>
      </c>
      <c r="Q148" s="12">
        <f t="shared" si="99"/>
        <v>31.018399999999957</v>
      </c>
      <c r="R148" s="12">
        <f t="shared" si="100"/>
        <v>29.012599999999971</v>
      </c>
      <c r="S148" s="12">
        <f t="shared" si="101"/>
        <v>0</v>
      </c>
      <c r="T148" s="12">
        <f t="shared" si="102"/>
        <v>0</v>
      </c>
      <c r="U148" s="43">
        <f>IF(OR(A148=Kontenplan!$C$3,A148=Kontenplan!$C$5),F148-G148,G148-F148)</f>
        <v>0</v>
      </c>
      <c r="V148" s="171">
        <f t="shared" si="85"/>
        <v>142</v>
      </c>
      <c r="W148" s="12">
        <f t="shared" si="86"/>
        <v>115</v>
      </c>
      <c r="X148" s="12">
        <f t="shared" si="87"/>
        <v>117</v>
      </c>
      <c r="Y148" s="12">
        <f>IF(Z148=0,VLOOKUP(W148,Kontenplan!$Y$9:$AA$551,3),"")</f>
        <v>0</v>
      </c>
      <c r="Z148" s="12">
        <f t="shared" si="103"/>
        <v>0</v>
      </c>
      <c r="AA148" s="12" t="str">
        <f t="shared" ca="1" si="104"/>
        <v/>
      </c>
      <c r="AB148" s="46" t="str">
        <f t="shared" ca="1" si="105"/>
        <v/>
      </c>
      <c r="AC148" s="46" t="str">
        <f t="shared" ca="1" si="106"/>
        <v/>
      </c>
      <c r="AD148" s="47"/>
      <c r="AE148" s="12">
        <f>IF(AF148=0,VLOOKUP(X148,Kontenplan!$Z$9:$AB$551,3),"")</f>
        <v>0</v>
      </c>
      <c r="AF148" s="47">
        <f t="shared" si="107"/>
        <v>0</v>
      </c>
      <c r="AG148" s="12" t="str">
        <f t="shared" ca="1" si="108"/>
        <v/>
      </c>
      <c r="AH148" s="46" t="str">
        <f t="shared" ca="1" si="109"/>
        <v/>
      </c>
      <c r="AI148" s="46" t="str">
        <f t="shared" ca="1" si="110"/>
        <v/>
      </c>
      <c r="AJ148" s="46"/>
      <c r="AK148" s="147">
        <f t="shared" ca="1" si="111"/>
        <v>2.0132000000000279</v>
      </c>
      <c r="AL148" s="147">
        <f t="shared" si="112"/>
        <v>2.0135000000000285</v>
      </c>
      <c r="AM148" s="12" t="str">
        <f>IF(V148&lt;=AO$3,VLOOKUP(V148,Kontenplan!$A$9:$D$278,4),"")</f>
        <v/>
      </c>
      <c r="AN148" s="12">
        <f t="shared" si="113"/>
        <v>0</v>
      </c>
      <c r="AO148" s="12" t="str">
        <f t="shared" ca="1" si="114"/>
        <v/>
      </c>
      <c r="AP148" s="46" t="str">
        <f t="shared" ca="1" si="115"/>
        <v/>
      </c>
      <c r="AQ148" s="46" t="str">
        <f t="shared" ca="1" si="116"/>
        <v/>
      </c>
      <c r="AR148" s="46"/>
      <c r="AS148" s="147">
        <f t="shared" ca="1" si="117"/>
        <v>3.0131000000000276</v>
      </c>
      <c r="AT148" s="147">
        <f t="shared" si="118"/>
        <v>2.0136000000000287</v>
      </c>
      <c r="AU148" s="47" t="str">
        <f>IF(V148&lt;=AW$3,VLOOKUP(AO$3+V148,Kontenplan!$A$9:$D$278,4),"")</f>
        <v/>
      </c>
      <c r="AV148" s="12">
        <f t="shared" si="119"/>
        <v>0</v>
      </c>
      <c r="AW148" s="12" t="str">
        <f t="shared" ca="1" si="120"/>
        <v/>
      </c>
      <c r="AX148" s="46" t="str">
        <f t="shared" ca="1" si="88"/>
        <v/>
      </c>
      <c r="AY148" s="46" t="str">
        <f t="shared" ca="1" si="121"/>
        <v/>
      </c>
      <c r="BA148" s="12">
        <f>Kontenplan!R150</f>
        <v>3</v>
      </c>
      <c r="BB148" s="12">
        <f>Kontenplan!S150</f>
        <v>2</v>
      </c>
      <c r="BC148" s="12">
        <f>Kontenplan!T150</f>
        <v>4</v>
      </c>
      <c r="BD148" s="170">
        <f>Kontenplan!U150</f>
        <v>4</v>
      </c>
      <c r="BF148" s="24">
        <f ca="1">SUM(AP$7:AP148)</f>
        <v>0</v>
      </c>
      <c r="BG148" s="46">
        <f ca="1">SUM(AQ$7:AQ147)</f>
        <v>0</v>
      </c>
      <c r="BH148" s="24">
        <f t="shared" ca="1" si="122"/>
        <v>0</v>
      </c>
      <c r="BI148" s="24"/>
      <c r="BJ148" s="24">
        <f ca="1">SUM(AX$7:AX148)</f>
        <v>0</v>
      </c>
      <c r="BK148" s="24">
        <f ca="1">SUM(AY$7:AY147)</f>
        <v>0</v>
      </c>
      <c r="BL148" s="24">
        <f t="shared" ca="1" si="123"/>
        <v>0</v>
      </c>
      <c r="BN148" s="24">
        <f ca="1">SUM(AB$7:AB148)</f>
        <v>0</v>
      </c>
      <c r="BO148" s="46">
        <f ca="1">SUM(AC$7:AC147)</f>
        <v>0</v>
      </c>
      <c r="BP148" s="24">
        <f t="shared" ca="1" si="124"/>
        <v>0</v>
      </c>
      <c r="BR148" s="24">
        <f ca="1">SUM(AH$7:AH148)</f>
        <v>0</v>
      </c>
      <c r="BS148" s="46">
        <f ca="1">SUM(AI$7:AI147)</f>
        <v>0</v>
      </c>
      <c r="BT148" s="24">
        <f t="shared" ca="1" si="125"/>
        <v>0</v>
      </c>
    </row>
    <row r="149" spans="1:72" s="12" customFormat="1">
      <c r="A149" s="202">
        <f>Kontenplan!C151</f>
        <v>0</v>
      </c>
      <c r="B149" s="224">
        <f>Kontenplan!E151</f>
        <v>0</v>
      </c>
      <c r="C149" s="225">
        <f>Kontenplan!F151</f>
        <v>0</v>
      </c>
      <c r="D149" s="43">
        <f>IF(B149=0,0,SUMIF(Journal!$F$7:$F$83,Calc!B149,Journal!$I$7:$I$83))</f>
        <v>0</v>
      </c>
      <c r="E149" s="15">
        <f>IF(B149=0,0,SUMIF(Journal!$G$7:$M223,Calc!B149,Journal!$I$7:$I$83))</f>
        <v>0</v>
      </c>
      <c r="F149" s="44">
        <f t="shared" si="89"/>
        <v>0</v>
      </c>
      <c r="G149" s="15">
        <f t="shared" si="90"/>
        <v>0</v>
      </c>
      <c r="H149" s="14" t="str">
        <f t="shared" si="91"/>
        <v xml:space="preserve"> </v>
      </c>
      <c r="I149" s="43" t="str">
        <f t="shared" si="92"/>
        <v xml:space="preserve"> </v>
      </c>
      <c r="J149" s="45" t="str">
        <f t="shared" si="93"/>
        <v xml:space="preserve"> </v>
      </c>
      <c r="K149" s="48" t="str">
        <f t="shared" si="94"/>
        <v xml:space="preserve"> </v>
      </c>
      <c r="L149" s="45" t="str">
        <f t="shared" si="95"/>
        <v xml:space="preserve"> </v>
      </c>
      <c r="M149" s="48" t="str">
        <f t="shared" si="96"/>
        <v xml:space="preserve"> </v>
      </c>
      <c r="N149" s="24"/>
      <c r="O149" s="12">
        <f t="shared" si="97"/>
        <v>10.026599999999938</v>
      </c>
      <c r="P149" s="12">
        <f t="shared" si="98"/>
        <v>9.0247999999999422</v>
      </c>
      <c r="Q149" s="12">
        <f t="shared" si="99"/>
        <v>31.018599999999957</v>
      </c>
      <c r="R149" s="12">
        <f t="shared" si="100"/>
        <v>29.01279999999997</v>
      </c>
      <c r="S149" s="12">
        <f t="shared" si="101"/>
        <v>0</v>
      </c>
      <c r="T149" s="12">
        <f t="shared" si="102"/>
        <v>0</v>
      </c>
      <c r="U149" s="43">
        <f>IF(OR(A149=Kontenplan!$C$3,A149=Kontenplan!$C$5),F149-G149,G149-F149)</f>
        <v>0</v>
      </c>
      <c r="V149" s="171">
        <f t="shared" si="85"/>
        <v>143</v>
      </c>
      <c r="W149" s="12">
        <f t="shared" si="86"/>
        <v>116</v>
      </c>
      <c r="X149" s="12">
        <f t="shared" si="87"/>
        <v>118</v>
      </c>
      <c r="Y149" s="12">
        <f>IF(Z149=0,VLOOKUP(W149,Kontenplan!$Y$9:$AA$551,3),"")</f>
        <v>0</v>
      </c>
      <c r="Z149" s="12">
        <f t="shared" si="103"/>
        <v>0</v>
      </c>
      <c r="AA149" s="12" t="str">
        <f t="shared" ca="1" si="104"/>
        <v/>
      </c>
      <c r="AB149" s="46" t="str">
        <f t="shared" ca="1" si="105"/>
        <v/>
      </c>
      <c r="AC149" s="46" t="str">
        <f t="shared" ca="1" si="106"/>
        <v/>
      </c>
      <c r="AD149" s="47"/>
      <c r="AE149" s="12">
        <f>IF(AF149=0,VLOOKUP(X149,Kontenplan!$Z$9:$AB$551,3),"")</f>
        <v>0</v>
      </c>
      <c r="AF149" s="47">
        <f t="shared" si="107"/>
        <v>0</v>
      </c>
      <c r="AG149" s="12" t="str">
        <f t="shared" ca="1" si="108"/>
        <v/>
      </c>
      <c r="AH149" s="46" t="str">
        <f t="shared" ca="1" si="109"/>
        <v/>
      </c>
      <c r="AI149" s="46" t="str">
        <f t="shared" ca="1" si="110"/>
        <v/>
      </c>
      <c r="AJ149" s="46"/>
      <c r="AK149" s="147">
        <f t="shared" ca="1" si="111"/>
        <v>2.0133000000000281</v>
      </c>
      <c r="AL149" s="147">
        <f t="shared" si="112"/>
        <v>2.0136000000000287</v>
      </c>
      <c r="AM149" s="12" t="str">
        <f>IF(V149&lt;=AO$3,VLOOKUP(V149,Kontenplan!$A$9:$D$278,4),"")</f>
        <v/>
      </c>
      <c r="AN149" s="12">
        <f t="shared" si="113"/>
        <v>0</v>
      </c>
      <c r="AO149" s="12" t="str">
        <f t="shared" ca="1" si="114"/>
        <v/>
      </c>
      <c r="AP149" s="46" t="str">
        <f t="shared" ca="1" si="115"/>
        <v/>
      </c>
      <c r="AQ149" s="46" t="str">
        <f t="shared" ca="1" si="116"/>
        <v/>
      </c>
      <c r="AR149" s="46"/>
      <c r="AS149" s="147">
        <f t="shared" ca="1" si="117"/>
        <v>3.0132000000000279</v>
      </c>
      <c r="AT149" s="147">
        <f t="shared" si="118"/>
        <v>2.0137000000000289</v>
      </c>
      <c r="AU149" s="47" t="str">
        <f>IF(V149&lt;=AW$3,VLOOKUP(AO$3+V149,Kontenplan!$A$9:$D$278,4),"")</f>
        <v/>
      </c>
      <c r="AV149" s="12">
        <f t="shared" si="119"/>
        <v>0</v>
      </c>
      <c r="AW149" s="12" t="str">
        <f t="shared" ca="1" si="120"/>
        <v/>
      </c>
      <c r="AX149" s="46" t="str">
        <f t="shared" ca="1" si="88"/>
        <v/>
      </c>
      <c r="AY149" s="46" t="str">
        <f t="shared" ca="1" si="121"/>
        <v/>
      </c>
      <c r="BA149" s="12">
        <f>Kontenplan!R151</f>
        <v>3</v>
      </c>
      <c r="BB149" s="12">
        <f>Kontenplan!S151</f>
        <v>2</v>
      </c>
      <c r="BC149" s="12">
        <f>Kontenplan!T151</f>
        <v>4</v>
      </c>
      <c r="BD149" s="170">
        <f>Kontenplan!U151</f>
        <v>4</v>
      </c>
      <c r="BF149" s="24">
        <f ca="1">SUM(AP$7:AP149)</f>
        <v>0</v>
      </c>
      <c r="BG149" s="46">
        <f ca="1">SUM(AQ$7:AQ148)</f>
        <v>0</v>
      </c>
      <c r="BH149" s="24">
        <f t="shared" ca="1" si="122"/>
        <v>0</v>
      </c>
      <c r="BI149" s="24"/>
      <c r="BJ149" s="24">
        <f ca="1">SUM(AX$7:AX149)</f>
        <v>0</v>
      </c>
      <c r="BK149" s="24">
        <f ca="1">SUM(AY$7:AY148)</f>
        <v>0</v>
      </c>
      <c r="BL149" s="24">
        <f t="shared" ca="1" si="123"/>
        <v>0</v>
      </c>
      <c r="BN149" s="24">
        <f ca="1">SUM(AB$7:AB149)</f>
        <v>0</v>
      </c>
      <c r="BO149" s="46">
        <f ca="1">SUM(AC$7:AC148)</f>
        <v>0</v>
      </c>
      <c r="BP149" s="24">
        <f t="shared" ca="1" si="124"/>
        <v>0</v>
      </c>
      <c r="BR149" s="24">
        <f ca="1">SUM(AH$7:AH149)</f>
        <v>0</v>
      </c>
      <c r="BS149" s="46">
        <f ca="1">SUM(AI$7:AI148)</f>
        <v>0</v>
      </c>
      <c r="BT149" s="24">
        <f t="shared" ca="1" si="125"/>
        <v>0</v>
      </c>
    </row>
    <row r="150" spans="1:72" s="12" customFormat="1">
      <c r="A150" s="202">
        <f>Kontenplan!C152</f>
        <v>0</v>
      </c>
      <c r="B150" s="224">
        <f>Kontenplan!E152</f>
        <v>0</v>
      </c>
      <c r="C150" s="225">
        <f>Kontenplan!F152</f>
        <v>0</v>
      </c>
      <c r="D150" s="43">
        <f>IF(B150=0,0,SUMIF(Journal!$F$7:$F$83,Calc!B150,Journal!$I$7:$I$83))</f>
        <v>0</v>
      </c>
      <c r="E150" s="15">
        <f>IF(B150=0,0,SUMIF(Journal!$G$7:$M224,Calc!B150,Journal!$I$7:$I$83))</f>
        <v>0</v>
      </c>
      <c r="F150" s="44">
        <f t="shared" si="89"/>
        <v>0</v>
      </c>
      <c r="G150" s="15">
        <f t="shared" si="90"/>
        <v>0</v>
      </c>
      <c r="H150" s="14" t="str">
        <f t="shared" si="91"/>
        <v xml:space="preserve"> </v>
      </c>
      <c r="I150" s="43" t="str">
        <f t="shared" si="92"/>
        <v xml:space="preserve"> </v>
      </c>
      <c r="J150" s="45" t="str">
        <f t="shared" si="93"/>
        <v xml:space="preserve"> </v>
      </c>
      <c r="K150" s="48" t="str">
        <f t="shared" si="94"/>
        <v xml:space="preserve"> </v>
      </c>
      <c r="L150" s="45" t="str">
        <f t="shared" si="95"/>
        <v xml:space="preserve"> </v>
      </c>
      <c r="M150" s="48" t="str">
        <f t="shared" si="96"/>
        <v xml:space="preserve"> </v>
      </c>
      <c r="N150" s="24"/>
      <c r="O150" s="12">
        <f t="shared" si="97"/>
        <v>10.026799999999938</v>
      </c>
      <c r="P150" s="12">
        <f t="shared" si="98"/>
        <v>9.0249999999999417</v>
      </c>
      <c r="Q150" s="12">
        <f t="shared" si="99"/>
        <v>31.018799999999956</v>
      </c>
      <c r="R150" s="12">
        <f t="shared" si="100"/>
        <v>29.01299999999997</v>
      </c>
      <c r="S150" s="12">
        <f t="shared" si="101"/>
        <v>0</v>
      </c>
      <c r="T150" s="12">
        <f t="shared" si="102"/>
        <v>0</v>
      </c>
      <c r="U150" s="43">
        <f>IF(OR(A150=Kontenplan!$C$3,A150=Kontenplan!$C$5),F150-G150,G150-F150)</f>
        <v>0</v>
      </c>
      <c r="V150" s="171">
        <f t="shared" si="85"/>
        <v>144</v>
      </c>
      <c r="W150" s="12">
        <f t="shared" si="86"/>
        <v>117</v>
      </c>
      <c r="X150" s="12">
        <f t="shared" si="87"/>
        <v>119</v>
      </c>
      <c r="Y150" s="12">
        <f>IF(Z150=0,VLOOKUP(W150,Kontenplan!$Y$9:$AA$551,3),"")</f>
        <v>0</v>
      </c>
      <c r="Z150" s="12">
        <f t="shared" si="103"/>
        <v>0</v>
      </c>
      <c r="AA150" s="12" t="str">
        <f t="shared" ca="1" si="104"/>
        <v/>
      </c>
      <c r="AB150" s="46" t="str">
        <f t="shared" ca="1" si="105"/>
        <v/>
      </c>
      <c r="AC150" s="46" t="str">
        <f t="shared" ca="1" si="106"/>
        <v/>
      </c>
      <c r="AD150" s="47"/>
      <c r="AE150" s="12">
        <f>IF(AF150=0,VLOOKUP(X150,Kontenplan!$Z$9:$AB$551,3),"")</f>
        <v>0</v>
      </c>
      <c r="AF150" s="47">
        <f t="shared" si="107"/>
        <v>0</v>
      </c>
      <c r="AG150" s="12" t="str">
        <f t="shared" ca="1" si="108"/>
        <v/>
      </c>
      <c r="AH150" s="46" t="str">
        <f t="shared" ca="1" si="109"/>
        <v/>
      </c>
      <c r="AI150" s="46" t="str">
        <f t="shared" ca="1" si="110"/>
        <v/>
      </c>
      <c r="AJ150" s="46"/>
      <c r="AK150" s="147">
        <f t="shared" ca="1" si="111"/>
        <v>2.0134000000000283</v>
      </c>
      <c r="AL150" s="147">
        <f t="shared" si="112"/>
        <v>2.0137000000000289</v>
      </c>
      <c r="AM150" s="12" t="str">
        <f>IF(V150&lt;=AO$3,VLOOKUP(V150,Kontenplan!$A$9:$D$278,4),"")</f>
        <v/>
      </c>
      <c r="AN150" s="12">
        <f t="shared" si="113"/>
        <v>0</v>
      </c>
      <c r="AO150" s="12" t="str">
        <f t="shared" ca="1" si="114"/>
        <v/>
      </c>
      <c r="AP150" s="46" t="str">
        <f t="shared" ca="1" si="115"/>
        <v/>
      </c>
      <c r="AQ150" s="46" t="str">
        <f t="shared" ca="1" si="116"/>
        <v/>
      </c>
      <c r="AR150" s="46"/>
      <c r="AS150" s="147">
        <f t="shared" ca="1" si="117"/>
        <v>3.0133000000000281</v>
      </c>
      <c r="AT150" s="147">
        <f t="shared" si="118"/>
        <v>2.0138000000000291</v>
      </c>
      <c r="AU150" s="47" t="str">
        <f>IF(V150&lt;=AW$3,VLOOKUP(AO$3+V150,Kontenplan!$A$9:$D$278,4),"")</f>
        <v/>
      </c>
      <c r="AV150" s="12">
        <f t="shared" si="119"/>
        <v>0</v>
      </c>
      <c r="AW150" s="12" t="str">
        <f t="shared" ca="1" si="120"/>
        <v/>
      </c>
      <c r="AX150" s="46" t="str">
        <f t="shared" ca="1" si="88"/>
        <v/>
      </c>
      <c r="AY150" s="46" t="str">
        <f t="shared" ca="1" si="121"/>
        <v/>
      </c>
      <c r="BA150" s="12">
        <f>Kontenplan!R152</f>
        <v>3</v>
      </c>
      <c r="BB150" s="12">
        <f>Kontenplan!S152</f>
        <v>2</v>
      </c>
      <c r="BC150" s="12">
        <f>Kontenplan!T152</f>
        <v>4</v>
      </c>
      <c r="BD150" s="170">
        <f>Kontenplan!U152</f>
        <v>4</v>
      </c>
      <c r="BF150" s="24">
        <f ca="1">SUM(AP$7:AP150)</f>
        <v>0</v>
      </c>
      <c r="BG150" s="46">
        <f ca="1">SUM(AQ$7:AQ149)</f>
        <v>0</v>
      </c>
      <c r="BH150" s="24">
        <f t="shared" ca="1" si="122"/>
        <v>0</v>
      </c>
      <c r="BI150" s="24"/>
      <c r="BJ150" s="24">
        <f ca="1">SUM(AX$7:AX150)</f>
        <v>0</v>
      </c>
      <c r="BK150" s="24">
        <f ca="1">SUM(AY$7:AY149)</f>
        <v>0</v>
      </c>
      <c r="BL150" s="24">
        <f t="shared" ca="1" si="123"/>
        <v>0</v>
      </c>
      <c r="BN150" s="24">
        <f ca="1">SUM(AB$7:AB150)</f>
        <v>0</v>
      </c>
      <c r="BO150" s="46">
        <f ca="1">SUM(AC$7:AC149)</f>
        <v>0</v>
      </c>
      <c r="BP150" s="24">
        <f t="shared" ca="1" si="124"/>
        <v>0</v>
      </c>
      <c r="BR150" s="24">
        <f ca="1">SUM(AH$7:AH150)</f>
        <v>0</v>
      </c>
      <c r="BS150" s="46">
        <f ca="1">SUM(AI$7:AI149)</f>
        <v>0</v>
      </c>
      <c r="BT150" s="24">
        <f t="shared" ca="1" si="125"/>
        <v>0</v>
      </c>
    </row>
    <row r="151" spans="1:72" s="12" customFormat="1">
      <c r="A151" s="202">
        <f>Kontenplan!C153</f>
        <v>0</v>
      </c>
      <c r="B151" s="224">
        <f>Kontenplan!E153</f>
        <v>0</v>
      </c>
      <c r="C151" s="225">
        <f>Kontenplan!F153</f>
        <v>0</v>
      </c>
      <c r="D151" s="43">
        <f>IF(B151=0,0,SUMIF(Journal!$F$7:$F$83,Calc!B151,Journal!$I$7:$I$83))</f>
        <v>0</v>
      </c>
      <c r="E151" s="15">
        <f>IF(B151=0,0,SUMIF(Journal!$G$7:$M225,Calc!B151,Journal!$I$7:$I$83))</f>
        <v>0</v>
      </c>
      <c r="F151" s="44">
        <f t="shared" si="89"/>
        <v>0</v>
      </c>
      <c r="G151" s="15">
        <f t="shared" si="90"/>
        <v>0</v>
      </c>
      <c r="H151" s="14" t="str">
        <f t="shared" si="91"/>
        <v xml:space="preserve"> </v>
      </c>
      <c r="I151" s="43" t="str">
        <f t="shared" si="92"/>
        <v xml:space="preserve"> </v>
      </c>
      <c r="J151" s="45" t="str">
        <f t="shared" si="93"/>
        <v xml:space="preserve"> </v>
      </c>
      <c r="K151" s="48" t="str">
        <f t="shared" si="94"/>
        <v xml:space="preserve"> </v>
      </c>
      <c r="L151" s="45" t="str">
        <f t="shared" si="95"/>
        <v xml:space="preserve"> </v>
      </c>
      <c r="M151" s="48" t="str">
        <f t="shared" si="96"/>
        <v xml:space="preserve"> </v>
      </c>
      <c r="N151" s="24"/>
      <c r="O151" s="12">
        <f t="shared" si="97"/>
        <v>10.026999999999937</v>
      </c>
      <c r="P151" s="12">
        <f t="shared" si="98"/>
        <v>9.0251999999999413</v>
      </c>
      <c r="Q151" s="12">
        <f t="shared" si="99"/>
        <v>31.018999999999956</v>
      </c>
      <c r="R151" s="12">
        <f t="shared" si="100"/>
        <v>29.013199999999969</v>
      </c>
      <c r="S151" s="12">
        <f t="shared" si="101"/>
        <v>0</v>
      </c>
      <c r="T151" s="12">
        <f t="shared" si="102"/>
        <v>0</v>
      </c>
      <c r="U151" s="43">
        <f>IF(OR(A151=Kontenplan!$C$3,A151=Kontenplan!$C$5),F151-G151,G151-F151)</f>
        <v>0</v>
      </c>
      <c r="V151" s="171">
        <f t="shared" si="85"/>
        <v>145</v>
      </c>
      <c r="W151" s="12">
        <f t="shared" si="86"/>
        <v>118</v>
      </c>
      <c r="X151" s="12">
        <f t="shared" si="87"/>
        <v>120</v>
      </c>
      <c r="Y151" s="12">
        <f>IF(Z151=0,VLOOKUP(W151,Kontenplan!$Y$9:$AA$551,3),"")</f>
        <v>0</v>
      </c>
      <c r="Z151" s="12">
        <f t="shared" si="103"/>
        <v>0</v>
      </c>
      <c r="AA151" s="12" t="str">
        <f t="shared" ca="1" si="104"/>
        <v/>
      </c>
      <c r="AB151" s="46" t="str">
        <f t="shared" ca="1" si="105"/>
        <v/>
      </c>
      <c r="AC151" s="46" t="str">
        <f t="shared" ca="1" si="106"/>
        <v/>
      </c>
      <c r="AD151" s="47"/>
      <c r="AE151" s="12">
        <f>IF(AF151=0,VLOOKUP(X151,Kontenplan!$Z$9:$AB$551,3),"")</f>
        <v>0</v>
      </c>
      <c r="AF151" s="47">
        <f t="shared" si="107"/>
        <v>0</v>
      </c>
      <c r="AG151" s="12" t="str">
        <f t="shared" ca="1" si="108"/>
        <v/>
      </c>
      <c r="AH151" s="46" t="str">
        <f t="shared" ca="1" si="109"/>
        <v/>
      </c>
      <c r="AI151" s="46" t="str">
        <f t="shared" ca="1" si="110"/>
        <v/>
      </c>
      <c r="AJ151" s="46"/>
      <c r="AK151" s="147">
        <f t="shared" ca="1" si="111"/>
        <v>2.0135000000000285</v>
      </c>
      <c r="AL151" s="147">
        <f t="shared" si="112"/>
        <v>2.0138000000000291</v>
      </c>
      <c r="AM151" s="12" t="str">
        <f>IF(V151&lt;=AO$3,VLOOKUP(V151,Kontenplan!$A$9:$D$278,4),"")</f>
        <v/>
      </c>
      <c r="AN151" s="12">
        <f t="shared" si="113"/>
        <v>0</v>
      </c>
      <c r="AO151" s="12" t="str">
        <f t="shared" ca="1" si="114"/>
        <v/>
      </c>
      <c r="AP151" s="46" t="str">
        <f t="shared" ca="1" si="115"/>
        <v/>
      </c>
      <c r="AQ151" s="46" t="str">
        <f t="shared" ca="1" si="116"/>
        <v/>
      </c>
      <c r="AR151" s="46"/>
      <c r="AS151" s="147">
        <f t="shared" ca="1" si="117"/>
        <v>3.0134000000000283</v>
      </c>
      <c r="AT151" s="147">
        <f t="shared" si="118"/>
        <v>2.0139000000000293</v>
      </c>
      <c r="AU151" s="47" t="str">
        <f>IF(V151&lt;=AW$3,VLOOKUP(AO$3+V151,Kontenplan!$A$9:$D$278,4),"")</f>
        <v/>
      </c>
      <c r="AV151" s="12">
        <f t="shared" si="119"/>
        <v>0</v>
      </c>
      <c r="AW151" s="12" t="str">
        <f t="shared" ca="1" si="120"/>
        <v/>
      </c>
      <c r="AX151" s="46" t="str">
        <f t="shared" ca="1" si="88"/>
        <v/>
      </c>
      <c r="AY151" s="46" t="str">
        <f t="shared" ca="1" si="121"/>
        <v/>
      </c>
      <c r="BA151" s="12">
        <f>Kontenplan!R153</f>
        <v>3</v>
      </c>
      <c r="BB151" s="12">
        <f>Kontenplan!S153</f>
        <v>2</v>
      </c>
      <c r="BC151" s="12">
        <f>Kontenplan!T153</f>
        <v>4</v>
      </c>
      <c r="BD151" s="170">
        <f>Kontenplan!U153</f>
        <v>4</v>
      </c>
      <c r="BF151" s="24">
        <f ca="1">SUM(AP$7:AP151)</f>
        <v>0</v>
      </c>
      <c r="BG151" s="46">
        <f ca="1">SUM(AQ$7:AQ150)</f>
        <v>0</v>
      </c>
      <c r="BH151" s="24">
        <f t="shared" ca="1" si="122"/>
        <v>0</v>
      </c>
      <c r="BI151" s="24"/>
      <c r="BJ151" s="24">
        <f ca="1">SUM(AX$7:AX151)</f>
        <v>0</v>
      </c>
      <c r="BK151" s="24">
        <f ca="1">SUM(AY$7:AY150)</f>
        <v>0</v>
      </c>
      <c r="BL151" s="24">
        <f t="shared" ca="1" si="123"/>
        <v>0</v>
      </c>
      <c r="BN151" s="24">
        <f ca="1">SUM(AB$7:AB151)</f>
        <v>0</v>
      </c>
      <c r="BO151" s="46">
        <f ca="1">SUM(AC$7:AC150)</f>
        <v>0</v>
      </c>
      <c r="BP151" s="24">
        <f t="shared" ca="1" si="124"/>
        <v>0</v>
      </c>
      <c r="BR151" s="24">
        <f ca="1">SUM(AH$7:AH151)</f>
        <v>0</v>
      </c>
      <c r="BS151" s="46">
        <f ca="1">SUM(AI$7:AI150)</f>
        <v>0</v>
      </c>
      <c r="BT151" s="24">
        <f t="shared" ca="1" si="125"/>
        <v>0</v>
      </c>
    </row>
    <row r="152" spans="1:72" s="12" customFormat="1">
      <c r="A152" s="202">
        <f>Kontenplan!C154</f>
        <v>0</v>
      </c>
      <c r="B152" s="224">
        <f>Kontenplan!E154</f>
        <v>0</v>
      </c>
      <c r="C152" s="225">
        <f>Kontenplan!F154</f>
        <v>0</v>
      </c>
      <c r="D152" s="43">
        <f>IF(B152=0,0,SUMIF(Journal!$F$7:$F$83,Calc!B152,Journal!$I$7:$I$83))</f>
        <v>0</v>
      </c>
      <c r="E152" s="15">
        <f>IF(B152=0,0,SUMIF(Journal!$G$7:$M226,Calc!B152,Journal!$I$7:$I$83))</f>
        <v>0</v>
      </c>
      <c r="F152" s="44">
        <f t="shared" si="89"/>
        <v>0</v>
      </c>
      <c r="G152" s="15">
        <f t="shared" si="90"/>
        <v>0</v>
      </c>
      <c r="H152" s="14" t="str">
        <f t="shared" si="91"/>
        <v xml:space="preserve"> </v>
      </c>
      <c r="I152" s="43" t="str">
        <f t="shared" si="92"/>
        <v xml:space="preserve"> </v>
      </c>
      <c r="J152" s="45" t="str">
        <f t="shared" si="93"/>
        <v xml:space="preserve"> </v>
      </c>
      <c r="K152" s="48" t="str">
        <f t="shared" si="94"/>
        <v xml:space="preserve"> </v>
      </c>
      <c r="L152" s="45" t="str">
        <f t="shared" si="95"/>
        <v xml:space="preserve"> </v>
      </c>
      <c r="M152" s="48" t="str">
        <f t="shared" si="96"/>
        <v xml:space="preserve"> </v>
      </c>
      <c r="N152" s="24"/>
      <c r="O152" s="12">
        <f t="shared" si="97"/>
        <v>10.027199999999937</v>
      </c>
      <c r="P152" s="12">
        <f t="shared" si="98"/>
        <v>9.0253999999999408</v>
      </c>
      <c r="Q152" s="12">
        <f t="shared" si="99"/>
        <v>31.019199999999955</v>
      </c>
      <c r="R152" s="12">
        <f t="shared" si="100"/>
        <v>29.013399999999969</v>
      </c>
      <c r="S152" s="12">
        <f t="shared" si="101"/>
        <v>0</v>
      </c>
      <c r="T152" s="12">
        <f t="shared" si="102"/>
        <v>0</v>
      </c>
      <c r="U152" s="43">
        <f>IF(OR(A152=Kontenplan!$C$3,A152=Kontenplan!$C$5),F152-G152,G152-F152)</f>
        <v>0</v>
      </c>
      <c r="V152" s="171">
        <f t="shared" si="85"/>
        <v>146</v>
      </c>
      <c r="W152" s="12">
        <f t="shared" si="86"/>
        <v>119</v>
      </c>
      <c r="X152" s="12">
        <f t="shared" si="87"/>
        <v>121</v>
      </c>
      <c r="Y152" s="12">
        <f>IF(Z152=0,VLOOKUP(W152,Kontenplan!$Y$9:$AA$551,3),"")</f>
        <v>0</v>
      </c>
      <c r="Z152" s="12">
        <f t="shared" si="103"/>
        <v>0</v>
      </c>
      <c r="AA152" s="12" t="str">
        <f t="shared" ca="1" si="104"/>
        <v/>
      </c>
      <c r="AB152" s="46" t="str">
        <f t="shared" ca="1" si="105"/>
        <v/>
      </c>
      <c r="AC152" s="46" t="str">
        <f t="shared" ca="1" si="106"/>
        <v/>
      </c>
      <c r="AD152" s="47"/>
      <c r="AE152" s="12">
        <f>IF(AF152=0,VLOOKUP(X152,Kontenplan!$Z$9:$AB$551,3),"")</f>
        <v>0</v>
      </c>
      <c r="AF152" s="47">
        <f t="shared" si="107"/>
        <v>0</v>
      </c>
      <c r="AG152" s="12" t="str">
        <f t="shared" ca="1" si="108"/>
        <v/>
      </c>
      <c r="AH152" s="46" t="str">
        <f t="shared" ca="1" si="109"/>
        <v/>
      </c>
      <c r="AI152" s="46" t="str">
        <f t="shared" ca="1" si="110"/>
        <v/>
      </c>
      <c r="AJ152" s="46"/>
      <c r="AK152" s="147">
        <f t="shared" ca="1" si="111"/>
        <v>2.0136000000000287</v>
      </c>
      <c r="AL152" s="147">
        <f t="shared" si="112"/>
        <v>2.0139000000000293</v>
      </c>
      <c r="AM152" s="12" t="str">
        <f>IF(V152&lt;=AO$3,VLOOKUP(V152,Kontenplan!$A$9:$D$278,4),"")</f>
        <v/>
      </c>
      <c r="AN152" s="12">
        <f t="shared" si="113"/>
        <v>0</v>
      </c>
      <c r="AO152" s="12" t="str">
        <f t="shared" ca="1" si="114"/>
        <v/>
      </c>
      <c r="AP152" s="46" t="str">
        <f t="shared" ca="1" si="115"/>
        <v/>
      </c>
      <c r="AQ152" s="46" t="str">
        <f t="shared" ca="1" si="116"/>
        <v/>
      </c>
      <c r="AR152" s="46"/>
      <c r="AS152" s="147">
        <f t="shared" ca="1" si="117"/>
        <v>3.0135000000000285</v>
      </c>
      <c r="AT152" s="147">
        <f t="shared" si="118"/>
        <v>2.0140000000000295</v>
      </c>
      <c r="AU152" s="47" t="str">
        <f>IF(V152&lt;=AW$3,VLOOKUP(AO$3+V152,Kontenplan!$A$9:$D$278,4),"")</f>
        <v/>
      </c>
      <c r="AV152" s="12">
        <f t="shared" si="119"/>
        <v>0</v>
      </c>
      <c r="AW152" s="12" t="str">
        <f t="shared" ca="1" si="120"/>
        <v/>
      </c>
      <c r="AX152" s="46" t="str">
        <f t="shared" ca="1" si="88"/>
        <v/>
      </c>
      <c r="AY152" s="46" t="str">
        <f t="shared" ca="1" si="121"/>
        <v/>
      </c>
      <c r="BA152" s="12">
        <f>Kontenplan!R154</f>
        <v>3</v>
      </c>
      <c r="BB152" s="12">
        <f>Kontenplan!S154</f>
        <v>2</v>
      </c>
      <c r="BC152" s="12">
        <f>Kontenplan!T154</f>
        <v>4</v>
      </c>
      <c r="BD152" s="170">
        <f>Kontenplan!U154</f>
        <v>4</v>
      </c>
      <c r="BF152" s="24">
        <f ca="1">SUM(AP$7:AP152)</f>
        <v>0</v>
      </c>
      <c r="BG152" s="46">
        <f ca="1">SUM(AQ$7:AQ151)</f>
        <v>0</v>
      </c>
      <c r="BH152" s="24">
        <f t="shared" ca="1" si="122"/>
        <v>0</v>
      </c>
      <c r="BI152" s="24"/>
      <c r="BJ152" s="24">
        <f ca="1">SUM(AX$7:AX152)</f>
        <v>0</v>
      </c>
      <c r="BK152" s="24">
        <f ca="1">SUM(AY$7:AY151)</f>
        <v>0</v>
      </c>
      <c r="BL152" s="24">
        <f t="shared" ca="1" si="123"/>
        <v>0</v>
      </c>
      <c r="BN152" s="24">
        <f ca="1">SUM(AB$7:AB152)</f>
        <v>0</v>
      </c>
      <c r="BO152" s="46">
        <f ca="1">SUM(AC$7:AC151)</f>
        <v>0</v>
      </c>
      <c r="BP152" s="24">
        <f t="shared" ca="1" si="124"/>
        <v>0</v>
      </c>
      <c r="BR152" s="24">
        <f ca="1">SUM(AH$7:AH152)</f>
        <v>0</v>
      </c>
      <c r="BS152" s="46">
        <f ca="1">SUM(AI$7:AI151)</f>
        <v>0</v>
      </c>
      <c r="BT152" s="24">
        <f t="shared" ca="1" si="125"/>
        <v>0</v>
      </c>
    </row>
    <row r="153" spans="1:72" s="12" customFormat="1">
      <c r="A153" s="202">
        <f>Kontenplan!C155</f>
        <v>0</v>
      </c>
      <c r="B153" s="224">
        <f>Kontenplan!E155</f>
        <v>0</v>
      </c>
      <c r="C153" s="225">
        <f>Kontenplan!F155</f>
        <v>0</v>
      </c>
      <c r="D153" s="43">
        <f>IF(B153=0,0,SUMIF(Journal!$F$7:$F$83,Calc!B153,Journal!$I$7:$I$83))</f>
        <v>0</v>
      </c>
      <c r="E153" s="15">
        <f>IF(B153=0,0,SUMIF(Journal!$G$7:$M227,Calc!B153,Journal!$I$7:$I$83))</f>
        <v>0</v>
      </c>
      <c r="F153" s="44">
        <f t="shared" si="89"/>
        <v>0</v>
      </c>
      <c r="G153" s="15">
        <f t="shared" si="90"/>
        <v>0</v>
      </c>
      <c r="H153" s="14" t="str">
        <f t="shared" si="91"/>
        <v xml:space="preserve"> </v>
      </c>
      <c r="I153" s="43" t="str">
        <f t="shared" si="92"/>
        <v xml:space="preserve"> </v>
      </c>
      <c r="J153" s="45" t="str">
        <f t="shared" si="93"/>
        <v xml:space="preserve"> </v>
      </c>
      <c r="K153" s="48" t="str">
        <f t="shared" si="94"/>
        <v xml:space="preserve"> </v>
      </c>
      <c r="L153" s="45" t="str">
        <f t="shared" si="95"/>
        <v xml:space="preserve"> </v>
      </c>
      <c r="M153" s="48" t="str">
        <f t="shared" si="96"/>
        <v xml:space="preserve"> </v>
      </c>
      <c r="N153" s="24"/>
      <c r="O153" s="12">
        <f t="shared" si="97"/>
        <v>10.027399999999936</v>
      </c>
      <c r="P153" s="12">
        <f t="shared" si="98"/>
        <v>9.0255999999999403</v>
      </c>
      <c r="Q153" s="12">
        <f t="shared" si="99"/>
        <v>31.019399999999955</v>
      </c>
      <c r="R153" s="12">
        <f t="shared" si="100"/>
        <v>29.013599999999968</v>
      </c>
      <c r="S153" s="12">
        <f t="shared" si="101"/>
        <v>0</v>
      </c>
      <c r="T153" s="12">
        <f t="shared" si="102"/>
        <v>0</v>
      </c>
      <c r="U153" s="43">
        <f>IF(OR(A153=Kontenplan!$C$3,A153=Kontenplan!$C$5),F153-G153,G153-F153)</f>
        <v>0</v>
      </c>
      <c r="V153" s="171">
        <f t="shared" si="85"/>
        <v>147</v>
      </c>
      <c r="W153" s="12">
        <f t="shared" si="86"/>
        <v>120</v>
      </c>
      <c r="X153" s="12">
        <f t="shared" si="87"/>
        <v>122</v>
      </c>
      <c r="Y153" s="12">
        <f>IF(Z153=0,VLOOKUP(W153,Kontenplan!$Y$9:$AA$551,3),"")</f>
        <v>0</v>
      </c>
      <c r="Z153" s="12">
        <f t="shared" si="103"/>
        <v>0</v>
      </c>
      <c r="AA153" s="12" t="str">
        <f t="shared" ca="1" si="104"/>
        <v/>
      </c>
      <c r="AB153" s="46" t="str">
        <f t="shared" ca="1" si="105"/>
        <v/>
      </c>
      <c r="AC153" s="46" t="str">
        <f t="shared" ca="1" si="106"/>
        <v/>
      </c>
      <c r="AD153" s="47"/>
      <c r="AE153" s="12">
        <f>IF(AF153=0,VLOOKUP(X153,Kontenplan!$Z$9:$AB$551,3),"")</f>
        <v>0</v>
      </c>
      <c r="AF153" s="47">
        <f t="shared" si="107"/>
        <v>0</v>
      </c>
      <c r="AG153" s="12" t="str">
        <f t="shared" ca="1" si="108"/>
        <v/>
      </c>
      <c r="AH153" s="46" t="str">
        <f t="shared" ca="1" si="109"/>
        <v/>
      </c>
      <c r="AI153" s="46" t="str">
        <f t="shared" ca="1" si="110"/>
        <v/>
      </c>
      <c r="AJ153" s="46"/>
      <c r="AK153" s="147">
        <f t="shared" ca="1" si="111"/>
        <v>2.0137000000000289</v>
      </c>
      <c r="AL153" s="147">
        <f t="shared" si="112"/>
        <v>2.0140000000000295</v>
      </c>
      <c r="AM153" s="12" t="str">
        <f>IF(V153&lt;=AO$3,VLOOKUP(V153,Kontenplan!$A$9:$D$278,4),"")</f>
        <v/>
      </c>
      <c r="AN153" s="12">
        <f t="shared" si="113"/>
        <v>0</v>
      </c>
      <c r="AO153" s="12" t="str">
        <f t="shared" ca="1" si="114"/>
        <v/>
      </c>
      <c r="AP153" s="46" t="str">
        <f t="shared" ca="1" si="115"/>
        <v/>
      </c>
      <c r="AQ153" s="46" t="str">
        <f t="shared" ca="1" si="116"/>
        <v/>
      </c>
      <c r="AR153" s="46"/>
      <c r="AS153" s="147">
        <f t="shared" ca="1" si="117"/>
        <v>3.0136000000000287</v>
      </c>
      <c r="AT153" s="147">
        <f t="shared" si="118"/>
        <v>2.0141000000000298</v>
      </c>
      <c r="AU153" s="47" t="str">
        <f>IF(V153&lt;=AW$3,VLOOKUP(AO$3+V153,Kontenplan!$A$9:$D$278,4),"")</f>
        <v/>
      </c>
      <c r="AV153" s="12">
        <f t="shared" si="119"/>
        <v>0</v>
      </c>
      <c r="AW153" s="12" t="str">
        <f t="shared" ca="1" si="120"/>
        <v/>
      </c>
      <c r="AX153" s="46" t="str">
        <f t="shared" ca="1" si="88"/>
        <v/>
      </c>
      <c r="AY153" s="46" t="str">
        <f t="shared" ca="1" si="121"/>
        <v/>
      </c>
      <c r="BA153" s="12">
        <f>Kontenplan!R155</f>
        <v>3</v>
      </c>
      <c r="BB153" s="12">
        <f>Kontenplan!S155</f>
        <v>2</v>
      </c>
      <c r="BC153" s="12">
        <f>Kontenplan!T155</f>
        <v>4</v>
      </c>
      <c r="BD153" s="170">
        <f>Kontenplan!U155</f>
        <v>4</v>
      </c>
      <c r="BF153" s="24">
        <f ca="1">SUM(AP$7:AP153)</f>
        <v>0</v>
      </c>
      <c r="BG153" s="46">
        <f ca="1">SUM(AQ$7:AQ152)</f>
        <v>0</v>
      </c>
      <c r="BH153" s="24">
        <f t="shared" ca="1" si="122"/>
        <v>0</v>
      </c>
      <c r="BI153" s="24"/>
      <c r="BJ153" s="24">
        <f ca="1">SUM(AX$7:AX153)</f>
        <v>0</v>
      </c>
      <c r="BK153" s="24">
        <f ca="1">SUM(AY$7:AY152)</f>
        <v>0</v>
      </c>
      <c r="BL153" s="24">
        <f t="shared" ca="1" si="123"/>
        <v>0</v>
      </c>
      <c r="BN153" s="24">
        <f ca="1">SUM(AB$7:AB153)</f>
        <v>0</v>
      </c>
      <c r="BO153" s="46">
        <f ca="1">SUM(AC$7:AC152)</f>
        <v>0</v>
      </c>
      <c r="BP153" s="24">
        <f t="shared" ca="1" si="124"/>
        <v>0</v>
      </c>
      <c r="BR153" s="24">
        <f ca="1">SUM(AH$7:AH153)</f>
        <v>0</v>
      </c>
      <c r="BS153" s="46">
        <f ca="1">SUM(AI$7:AI152)</f>
        <v>0</v>
      </c>
      <c r="BT153" s="24">
        <f t="shared" ca="1" si="125"/>
        <v>0</v>
      </c>
    </row>
    <row r="154" spans="1:72" s="12" customFormat="1">
      <c r="A154" s="202">
        <f>Kontenplan!C156</f>
        <v>0</v>
      </c>
      <c r="B154" s="224">
        <f>Kontenplan!E156</f>
        <v>0</v>
      </c>
      <c r="C154" s="225">
        <f>Kontenplan!F156</f>
        <v>0</v>
      </c>
      <c r="D154" s="43">
        <f>IF(B154=0,0,SUMIF(Journal!$F$7:$F$83,Calc!B154,Journal!$I$7:$I$83))</f>
        <v>0</v>
      </c>
      <c r="E154" s="15">
        <f>IF(B154=0,0,SUMIF(Journal!$G$7:$M228,Calc!B154,Journal!$I$7:$I$83))</f>
        <v>0</v>
      </c>
      <c r="F154" s="44">
        <f t="shared" si="89"/>
        <v>0</v>
      </c>
      <c r="G154" s="15">
        <f t="shared" si="90"/>
        <v>0</v>
      </c>
      <c r="H154" s="14" t="str">
        <f t="shared" si="91"/>
        <v xml:space="preserve"> </v>
      </c>
      <c r="I154" s="43" t="str">
        <f t="shared" si="92"/>
        <v xml:space="preserve"> </v>
      </c>
      <c r="J154" s="45" t="str">
        <f t="shared" si="93"/>
        <v xml:space="preserve"> </v>
      </c>
      <c r="K154" s="48" t="str">
        <f t="shared" si="94"/>
        <v xml:space="preserve"> </v>
      </c>
      <c r="L154" s="45" t="str">
        <f t="shared" si="95"/>
        <v xml:space="preserve"> </v>
      </c>
      <c r="M154" s="48" t="str">
        <f t="shared" si="96"/>
        <v xml:space="preserve"> </v>
      </c>
      <c r="N154" s="24"/>
      <c r="O154" s="12">
        <f t="shared" si="97"/>
        <v>10.027599999999936</v>
      </c>
      <c r="P154" s="12">
        <f t="shared" si="98"/>
        <v>9.0257999999999399</v>
      </c>
      <c r="Q154" s="12">
        <f t="shared" si="99"/>
        <v>31.019599999999954</v>
      </c>
      <c r="R154" s="12">
        <f t="shared" si="100"/>
        <v>29.013799999999968</v>
      </c>
      <c r="S154" s="12">
        <f t="shared" si="101"/>
        <v>0</v>
      </c>
      <c r="T154" s="12">
        <f t="shared" si="102"/>
        <v>0</v>
      </c>
      <c r="U154" s="43">
        <f>IF(OR(A154=Kontenplan!$C$3,A154=Kontenplan!$C$5),F154-G154,G154-F154)</f>
        <v>0</v>
      </c>
      <c r="V154" s="171">
        <f t="shared" si="85"/>
        <v>148</v>
      </c>
      <c r="W154" s="12">
        <f t="shared" si="86"/>
        <v>121</v>
      </c>
      <c r="X154" s="12">
        <f t="shared" si="87"/>
        <v>123</v>
      </c>
      <c r="Y154" s="12">
        <f>IF(Z154=0,VLOOKUP(W154,Kontenplan!$Y$9:$AA$551,3),"")</f>
        <v>0</v>
      </c>
      <c r="Z154" s="12">
        <f t="shared" si="103"/>
        <v>0</v>
      </c>
      <c r="AA154" s="12" t="str">
        <f t="shared" ca="1" si="104"/>
        <v/>
      </c>
      <c r="AB154" s="46" t="str">
        <f t="shared" ca="1" si="105"/>
        <v/>
      </c>
      <c r="AC154" s="46" t="str">
        <f t="shared" ca="1" si="106"/>
        <v/>
      </c>
      <c r="AD154" s="47"/>
      <c r="AE154" s="12">
        <f>IF(AF154=0,VLOOKUP(X154,Kontenplan!$Z$9:$AB$551,3),"")</f>
        <v>0</v>
      </c>
      <c r="AF154" s="47">
        <f t="shared" si="107"/>
        <v>0</v>
      </c>
      <c r="AG154" s="12" t="str">
        <f t="shared" ca="1" si="108"/>
        <v/>
      </c>
      <c r="AH154" s="46" t="str">
        <f t="shared" ca="1" si="109"/>
        <v/>
      </c>
      <c r="AI154" s="46" t="str">
        <f t="shared" ca="1" si="110"/>
        <v/>
      </c>
      <c r="AJ154" s="46"/>
      <c r="AK154" s="147">
        <f t="shared" ca="1" si="111"/>
        <v>2.0138000000000291</v>
      </c>
      <c r="AL154" s="147">
        <f t="shared" si="112"/>
        <v>2.0141000000000298</v>
      </c>
      <c r="AM154" s="12" t="str">
        <f>IF(V154&lt;=AO$3,VLOOKUP(V154,Kontenplan!$A$9:$D$278,4),"")</f>
        <v/>
      </c>
      <c r="AN154" s="12">
        <f t="shared" si="113"/>
        <v>0</v>
      </c>
      <c r="AO154" s="12" t="str">
        <f t="shared" ca="1" si="114"/>
        <v/>
      </c>
      <c r="AP154" s="46" t="str">
        <f t="shared" ca="1" si="115"/>
        <v/>
      </c>
      <c r="AQ154" s="46" t="str">
        <f t="shared" ca="1" si="116"/>
        <v/>
      </c>
      <c r="AR154" s="46"/>
      <c r="AS154" s="147">
        <f t="shared" ca="1" si="117"/>
        <v>3.0137000000000289</v>
      </c>
      <c r="AT154" s="147">
        <f t="shared" si="118"/>
        <v>2.01420000000003</v>
      </c>
      <c r="AU154" s="47" t="str">
        <f>IF(V154&lt;=AW$3,VLOOKUP(AO$3+V154,Kontenplan!$A$9:$D$278,4),"")</f>
        <v/>
      </c>
      <c r="AV154" s="12">
        <f t="shared" si="119"/>
        <v>0</v>
      </c>
      <c r="AW154" s="12" t="str">
        <f t="shared" ca="1" si="120"/>
        <v/>
      </c>
      <c r="AX154" s="46" t="str">
        <f t="shared" ca="1" si="88"/>
        <v/>
      </c>
      <c r="AY154" s="46" t="str">
        <f t="shared" ca="1" si="121"/>
        <v/>
      </c>
      <c r="BA154" s="12">
        <f>Kontenplan!R156</f>
        <v>3</v>
      </c>
      <c r="BB154" s="12">
        <f>Kontenplan!S156</f>
        <v>2</v>
      </c>
      <c r="BC154" s="12">
        <f>Kontenplan!T156</f>
        <v>4</v>
      </c>
      <c r="BD154" s="170">
        <f>Kontenplan!U156</f>
        <v>4</v>
      </c>
      <c r="BF154" s="24">
        <f ca="1">SUM(AP$7:AP154)</f>
        <v>0</v>
      </c>
      <c r="BG154" s="46">
        <f ca="1">SUM(AQ$7:AQ153)</f>
        <v>0</v>
      </c>
      <c r="BH154" s="24">
        <f t="shared" ca="1" si="122"/>
        <v>0</v>
      </c>
      <c r="BI154" s="24"/>
      <c r="BJ154" s="24">
        <f ca="1">SUM(AX$7:AX154)</f>
        <v>0</v>
      </c>
      <c r="BK154" s="24">
        <f ca="1">SUM(AY$7:AY153)</f>
        <v>0</v>
      </c>
      <c r="BL154" s="24">
        <f t="shared" ca="1" si="123"/>
        <v>0</v>
      </c>
      <c r="BN154" s="24">
        <f ca="1">SUM(AB$7:AB154)</f>
        <v>0</v>
      </c>
      <c r="BO154" s="46">
        <f ca="1">SUM(AC$7:AC153)</f>
        <v>0</v>
      </c>
      <c r="BP154" s="24">
        <f t="shared" ca="1" si="124"/>
        <v>0</v>
      </c>
      <c r="BR154" s="24">
        <f ca="1">SUM(AH$7:AH154)</f>
        <v>0</v>
      </c>
      <c r="BS154" s="46">
        <f ca="1">SUM(AI$7:AI153)</f>
        <v>0</v>
      </c>
      <c r="BT154" s="24">
        <f t="shared" ca="1" si="125"/>
        <v>0</v>
      </c>
    </row>
    <row r="155" spans="1:72" s="12" customFormat="1">
      <c r="A155" s="202">
        <f>Kontenplan!C157</f>
        <v>0</v>
      </c>
      <c r="B155" s="224">
        <f>Kontenplan!E157</f>
        <v>0</v>
      </c>
      <c r="C155" s="225">
        <f>Kontenplan!F157</f>
        <v>0</v>
      </c>
      <c r="D155" s="43">
        <f>IF(B155=0,0,SUMIF(Journal!$F$7:$F$83,Calc!B155,Journal!$I$7:$I$83))</f>
        <v>0</v>
      </c>
      <c r="E155" s="15">
        <f>IF(B155=0,0,SUMIF(Journal!$G$7:$M229,Calc!B155,Journal!$I$7:$I$83))</f>
        <v>0</v>
      </c>
      <c r="F155" s="44">
        <f t="shared" si="89"/>
        <v>0</v>
      </c>
      <c r="G155" s="15">
        <f t="shared" si="90"/>
        <v>0</v>
      </c>
      <c r="H155" s="14" t="str">
        <f t="shared" si="91"/>
        <v xml:space="preserve"> </v>
      </c>
      <c r="I155" s="43" t="str">
        <f t="shared" si="92"/>
        <v xml:space="preserve"> </v>
      </c>
      <c r="J155" s="45" t="str">
        <f t="shared" si="93"/>
        <v xml:space="preserve"> </v>
      </c>
      <c r="K155" s="48" t="str">
        <f t="shared" si="94"/>
        <v xml:space="preserve"> </v>
      </c>
      <c r="L155" s="45" t="str">
        <f t="shared" si="95"/>
        <v xml:space="preserve"> </v>
      </c>
      <c r="M155" s="48" t="str">
        <f t="shared" si="96"/>
        <v xml:space="preserve"> </v>
      </c>
      <c r="N155" s="24"/>
      <c r="O155" s="12">
        <f t="shared" si="97"/>
        <v>10.027799999999935</v>
      </c>
      <c r="P155" s="12">
        <f t="shared" si="98"/>
        <v>9.0259999999999394</v>
      </c>
      <c r="Q155" s="12">
        <f t="shared" si="99"/>
        <v>31.019799999999954</v>
      </c>
      <c r="R155" s="12">
        <f t="shared" si="100"/>
        <v>29.013999999999967</v>
      </c>
      <c r="S155" s="12">
        <f t="shared" si="101"/>
        <v>0</v>
      </c>
      <c r="T155" s="12">
        <f t="shared" si="102"/>
        <v>0</v>
      </c>
      <c r="U155" s="43">
        <f>IF(OR(A155=Kontenplan!$C$3,A155=Kontenplan!$C$5),F155-G155,G155-F155)</f>
        <v>0</v>
      </c>
      <c r="V155" s="171">
        <f t="shared" si="85"/>
        <v>149</v>
      </c>
      <c r="W155" s="12">
        <f t="shared" si="86"/>
        <v>122</v>
      </c>
      <c r="X155" s="12">
        <f t="shared" si="87"/>
        <v>124</v>
      </c>
      <c r="Y155" s="12">
        <f>IF(Z155=0,VLOOKUP(W155,Kontenplan!$Y$9:$AA$551,3),"")</f>
        <v>0</v>
      </c>
      <c r="Z155" s="12">
        <f t="shared" si="103"/>
        <v>0</v>
      </c>
      <c r="AA155" s="12" t="str">
        <f t="shared" ca="1" si="104"/>
        <v/>
      </c>
      <c r="AB155" s="46" t="str">
        <f t="shared" ca="1" si="105"/>
        <v/>
      </c>
      <c r="AC155" s="46" t="str">
        <f t="shared" ca="1" si="106"/>
        <v/>
      </c>
      <c r="AD155" s="47"/>
      <c r="AE155" s="12">
        <f>IF(AF155=0,VLOOKUP(X155,Kontenplan!$Z$9:$AB$551,3),"")</f>
        <v>0</v>
      </c>
      <c r="AF155" s="47">
        <f t="shared" si="107"/>
        <v>0</v>
      </c>
      <c r="AG155" s="12" t="str">
        <f t="shared" ca="1" si="108"/>
        <v/>
      </c>
      <c r="AH155" s="46" t="str">
        <f t="shared" ca="1" si="109"/>
        <v/>
      </c>
      <c r="AI155" s="46" t="str">
        <f t="shared" ca="1" si="110"/>
        <v/>
      </c>
      <c r="AJ155" s="46"/>
      <c r="AK155" s="147">
        <f t="shared" ca="1" si="111"/>
        <v>2.0139000000000293</v>
      </c>
      <c r="AL155" s="147">
        <f t="shared" si="112"/>
        <v>2.01420000000003</v>
      </c>
      <c r="AM155" s="12" t="str">
        <f>IF(V155&lt;=AO$3,VLOOKUP(V155,Kontenplan!$A$9:$D$278,4),"")</f>
        <v/>
      </c>
      <c r="AN155" s="12">
        <f t="shared" si="113"/>
        <v>0</v>
      </c>
      <c r="AO155" s="12" t="str">
        <f t="shared" ca="1" si="114"/>
        <v/>
      </c>
      <c r="AP155" s="46" t="str">
        <f t="shared" ca="1" si="115"/>
        <v/>
      </c>
      <c r="AQ155" s="46" t="str">
        <f t="shared" ca="1" si="116"/>
        <v/>
      </c>
      <c r="AR155" s="46"/>
      <c r="AS155" s="147">
        <f t="shared" ca="1" si="117"/>
        <v>3.0138000000000291</v>
      </c>
      <c r="AT155" s="147">
        <f t="shared" si="118"/>
        <v>2.0143000000000302</v>
      </c>
      <c r="AU155" s="47" t="str">
        <f>IF(V155&lt;=AW$3,VLOOKUP(AO$3+V155,Kontenplan!$A$9:$D$278,4),"")</f>
        <v/>
      </c>
      <c r="AV155" s="12">
        <f t="shared" si="119"/>
        <v>0</v>
      </c>
      <c r="AW155" s="12" t="str">
        <f t="shared" ca="1" si="120"/>
        <v/>
      </c>
      <c r="AX155" s="46" t="str">
        <f t="shared" ca="1" si="88"/>
        <v/>
      </c>
      <c r="AY155" s="46" t="str">
        <f t="shared" ca="1" si="121"/>
        <v/>
      </c>
      <c r="BA155" s="12">
        <f>Kontenplan!R157</f>
        <v>3</v>
      </c>
      <c r="BB155" s="12">
        <f>Kontenplan!S157</f>
        <v>2</v>
      </c>
      <c r="BC155" s="12">
        <f>Kontenplan!T157</f>
        <v>4</v>
      </c>
      <c r="BD155" s="170">
        <f>Kontenplan!U157</f>
        <v>4</v>
      </c>
      <c r="BF155" s="24">
        <f ca="1">SUM(AP$7:AP155)</f>
        <v>0</v>
      </c>
      <c r="BG155" s="46">
        <f ca="1">SUM(AQ$7:AQ154)</f>
        <v>0</v>
      </c>
      <c r="BH155" s="24">
        <f t="shared" ca="1" si="122"/>
        <v>0</v>
      </c>
      <c r="BI155" s="24"/>
      <c r="BJ155" s="24">
        <f ca="1">SUM(AX$7:AX155)</f>
        <v>0</v>
      </c>
      <c r="BK155" s="24">
        <f ca="1">SUM(AY$7:AY154)</f>
        <v>0</v>
      </c>
      <c r="BL155" s="24">
        <f t="shared" ca="1" si="123"/>
        <v>0</v>
      </c>
      <c r="BN155" s="24">
        <f ca="1">SUM(AB$7:AB155)</f>
        <v>0</v>
      </c>
      <c r="BO155" s="46">
        <f ca="1">SUM(AC$7:AC154)</f>
        <v>0</v>
      </c>
      <c r="BP155" s="24">
        <f t="shared" ca="1" si="124"/>
        <v>0</v>
      </c>
      <c r="BR155" s="24">
        <f ca="1">SUM(AH$7:AH155)</f>
        <v>0</v>
      </c>
      <c r="BS155" s="46">
        <f ca="1">SUM(AI$7:AI154)</f>
        <v>0</v>
      </c>
      <c r="BT155" s="24">
        <f t="shared" ca="1" si="125"/>
        <v>0</v>
      </c>
    </row>
    <row r="156" spans="1:72" s="12" customFormat="1">
      <c r="A156" s="202">
        <f>Kontenplan!C158</f>
        <v>0</v>
      </c>
      <c r="B156" s="224">
        <f>Kontenplan!E158</f>
        <v>0</v>
      </c>
      <c r="C156" s="225">
        <f>Kontenplan!F158</f>
        <v>0</v>
      </c>
      <c r="D156" s="43">
        <f>IF(B156=0,0,SUMIF(Journal!$F$7:$F$83,Calc!B156,Journal!$I$7:$I$83))</f>
        <v>0</v>
      </c>
      <c r="E156" s="15">
        <f>IF(B156=0,0,SUMIF(Journal!$G$7:$M230,Calc!B156,Journal!$I$7:$I$83))</f>
        <v>0</v>
      </c>
      <c r="F156" s="44">
        <f t="shared" si="89"/>
        <v>0</v>
      </c>
      <c r="G156" s="15">
        <f t="shared" si="90"/>
        <v>0</v>
      </c>
      <c r="H156" s="14" t="str">
        <f t="shared" si="91"/>
        <v xml:space="preserve"> </v>
      </c>
      <c r="I156" s="43" t="str">
        <f t="shared" si="92"/>
        <v xml:space="preserve"> </v>
      </c>
      <c r="J156" s="45" t="str">
        <f t="shared" si="93"/>
        <v xml:space="preserve"> </v>
      </c>
      <c r="K156" s="48" t="str">
        <f t="shared" si="94"/>
        <v xml:space="preserve"> </v>
      </c>
      <c r="L156" s="45" t="str">
        <f t="shared" si="95"/>
        <v xml:space="preserve"> </v>
      </c>
      <c r="M156" s="48" t="str">
        <f t="shared" si="96"/>
        <v xml:space="preserve"> </v>
      </c>
      <c r="N156" s="24"/>
      <c r="O156" s="12">
        <f t="shared" si="97"/>
        <v>10.027999999999935</v>
      </c>
      <c r="P156" s="12">
        <f t="shared" si="98"/>
        <v>9.0261999999999389</v>
      </c>
      <c r="Q156" s="12">
        <f t="shared" si="99"/>
        <v>31.019999999999953</v>
      </c>
      <c r="R156" s="12">
        <f t="shared" si="100"/>
        <v>29.014199999999967</v>
      </c>
      <c r="S156" s="12">
        <f t="shared" si="101"/>
        <v>0</v>
      </c>
      <c r="T156" s="12">
        <f t="shared" si="102"/>
        <v>0</v>
      </c>
      <c r="U156" s="43">
        <f>IF(OR(A156=Kontenplan!$C$3,A156=Kontenplan!$C$5),F156-G156,G156-F156)</f>
        <v>0</v>
      </c>
      <c r="V156" s="171">
        <f t="shared" si="85"/>
        <v>150</v>
      </c>
      <c r="W156" s="12">
        <f t="shared" si="86"/>
        <v>123</v>
      </c>
      <c r="X156" s="12">
        <f t="shared" si="87"/>
        <v>125</v>
      </c>
      <c r="Y156" s="12">
        <f>IF(Z156=0,VLOOKUP(W156,Kontenplan!$Y$9:$AA$551,3),"")</f>
        <v>0</v>
      </c>
      <c r="Z156" s="12">
        <f t="shared" si="103"/>
        <v>0</v>
      </c>
      <c r="AA156" s="12" t="str">
        <f t="shared" ca="1" si="104"/>
        <v/>
      </c>
      <c r="AB156" s="46" t="str">
        <f t="shared" ca="1" si="105"/>
        <v/>
      </c>
      <c r="AC156" s="46" t="str">
        <f t="shared" ca="1" si="106"/>
        <v/>
      </c>
      <c r="AD156" s="47"/>
      <c r="AE156" s="12">
        <f>IF(AF156=0,VLOOKUP(X156,Kontenplan!$Z$9:$AB$551,3),"")</f>
        <v>0</v>
      </c>
      <c r="AF156" s="47">
        <f t="shared" si="107"/>
        <v>0</v>
      </c>
      <c r="AG156" s="12" t="str">
        <f t="shared" ca="1" si="108"/>
        <v/>
      </c>
      <c r="AH156" s="46" t="str">
        <f t="shared" ca="1" si="109"/>
        <v/>
      </c>
      <c r="AI156" s="46" t="str">
        <f t="shared" ca="1" si="110"/>
        <v/>
      </c>
      <c r="AJ156" s="46"/>
      <c r="AK156" s="147">
        <f t="shared" ca="1" si="111"/>
        <v>2.0140000000000295</v>
      </c>
      <c r="AL156" s="147">
        <f t="shared" si="112"/>
        <v>2.0143000000000302</v>
      </c>
      <c r="AM156" s="12" t="str">
        <f>IF(V156&lt;=AO$3,VLOOKUP(V156,Kontenplan!$A$9:$D$278,4),"")</f>
        <v/>
      </c>
      <c r="AN156" s="12">
        <f t="shared" si="113"/>
        <v>0</v>
      </c>
      <c r="AO156" s="12" t="str">
        <f t="shared" ca="1" si="114"/>
        <v/>
      </c>
      <c r="AP156" s="46" t="str">
        <f t="shared" ca="1" si="115"/>
        <v/>
      </c>
      <c r="AQ156" s="46" t="str">
        <f t="shared" ca="1" si="116"/>
        <v/>
      </c>
      <c r="AR156" s="46"/>
      <c r="AS156" s="147">
        <f t="shared" ca="1" si="117"/>
        <v>3.0139000000000293</v>
      </c>
      <c r="AT156" s="147">
        <f t="shared" si="118"/>
        <v>2.0144000000000304</v>
      </c>
      <c r="AU156" s="47" t="str">
        <f>IF(V156&lt;=AW$3,VLOOKUP(AO$3+V156,Kontenplan!$A$9:$D$278,4),"")</f>
        <v/>
      </c>
      <c r="AV156" s="12">
        <f t="shared" si="119"/>
        <v>0</v>
      </c>
      <c r="AW156" s="12" t="str">
        <f t="shared" ca="1" si="120"/>
        <v/>
      </c>
      <c r="AX156" s="46" t="str">
        <f t="shared" ca="1" si="88"/>
        <v/>
      </c>
      <c r="AY156" s="46" t="str">
        <f t="shared" ca="1" si="121"/>
        <v/>
      </c>
      <c r="BA156" s="12">
        <f>Kontenplan!R158</f>
        <v>3</v>
      </c>
      <c r="BB156" s="12">
        <f>Kontenplan!S158</f>
        <v>2</v>
      </c>
      <c r="BC156" s="12">
        <f>Kontenplan!T158</f>
        <v>4</v>
      </c>
      <c r="BD156" s="170">
        <f>Kontenplan!U158</f>
        <v>4</v>
      </c>
      <c r="BF156" s="24">
        <f ca="1">SUM(AP$7:AP156)</f>
        <v>0</v>
      </c>
      <c r="BG156" s="46">
        <f ca="1">SUM(AQ$7:AQ155)</f>
        <v>0</v>
      </c>
      <c r="BH156" s="24">
        <f t="shared" ca="1" si="122"/>
        <v>0</v>
      </c>
      <c r="BI156" s="24"/>
      <c r="BJ156" s="24">
        <f ca="1">SUM(AX$7:AX156)</f>
        <v>0</v>
      </c>
      <c r="BK156" s="24">
        <f ca="1">SUM(AY$7:AY155)</f>
        <v>0</v>
      </c>
      <c r="BL156" s="24">
        <f t="shared" ca="1" si="123"/>
        <v>0</v>
      </c>
      <c r="BN156" s="24">
        <f ca="1">SUM(AB$7:AB156)</f>
        <v>0</v>
      </c>
      <c r="BO156" s="46">
        <f ca="1">SUM(AC$7:AC155)</f>
        <v>0</v>
      </c>
      <c r="BP156" s="24">
        <f t="shared" ca="1" si="124"/>
        <v>0</v>
      </c>
      <c r="BR156" s="24">
        <f ca="1">SUM(AH$7:AH156)</f>
        <v>0</v>
      </c>
      <c r="BS156" s="46">
        <f ca="1">SUM(AI$7:AI155)</f>
        <v>0</v>
      </c>
      <c r="BT156" s="24">
        <f t="shared" ca="1" si="125"/>
        <v>0</v>
      </c>
    </row>
    <row r="157" spans="1:72" s="12" customFormat="1">
      <c r="A157" s="202">
        <f>Kontenplan!C159</f>
        <v>0</v>
      </c>
      <c r="B157" s="224">
        <f>Kontenplan!E159</f>
        <v>0</v>
      </c>
      <c r="C157" s="225">
        <f>Kontenplan!F159</f>
        <v>0</v>
      </c>
      <c r="D157" s="43">
        <f>IF(B157=0,0,SUMIF(Journal!$F$7:$F$83,Calc!B157,Journal!$I$7:$I$83))</f>
        <v>0</v>
      </c>
      <c r="E157" s="15">
        <f>IF(B157=0,0,SUMIF(Journal!$G$7:$M231,Calc!B157,Journal!$I$7:$I$83))</f>
        <v>0</v>
      </c>
      <c r="F157" s="44">
        <f t="shared" si="89"/>
        <v>0</v>
      </c>
      <c r="G157" s="15">
        <f t="shared" si="90"/>
        <v>0</v>
      </c>
      <c r="H157" s="14" t="str">
        <f t="shared" si="91"/>
        <v xml:space="preserve"> </v>
      </c>
      <c r="I157" s="43" t="str">
        <f t="shared" si="92"/>
        <v xml:space="preserve"> </v>
      </c>
      <c r="J157" s="45" t="str">
        <f t="shared" si="93"/>
        <v xml:space="preserve"> </v>
      </c>
      <c r="K157" s="48" t="str">
        <f t="shared" si="94"/>
        <v xml:space="preserve"> </v>
      </c>
      <c r="L157" s="45" t="str">
        <f t="shared" si="95"/>
        <v xml:space="preserve"> </v>
      </c>
      <c r="M157" s="48" t="str">
        <f t="shared" si="96"/>
        <v xml:space="preserve"> </v>
      </c>
      <c r="N157" s="24"/>
      <c r="O157" s="12">
        <f t="shared" si="97"/>
        <v>10.028199999999934</v>
      </c>
      <c r="P157" s="12">
        <f t="shared" si="98"/>
        <v>9.0263999999999385</v>
      </c>
      <c r="Q157" s="12">
        <f t="shared" si="99"/>
        <v>31.020199999999953</v>
      </c>
      <c r="R157" s="12">
        <f t="shared" si="100"/>
        <v>29.014399999999966</v>
      </c>
      <c r="S157" s="12">
        <f t="shared" si="101"/>
        <v>0</v>
      </c>
      <c r="T157" s="12">
        <f t="shared" si="102"/>
        <v>0</v>
      </c>
      <c r="U157" s="43">
        <f>IF(OR(A157=Kontenplan!$C$3,A157=Kontenplan!$C$5),F157-G157,G157-F157)</f>
        <v>0</v>
      </c>
      <c r="V157" s="171">
        <f t="shared" si="85"/>
        <v>151</v>
      </c>
      <c r="W157" s="12">
        <f t="shared" si="86"/>
        <v>124</v>
      </c>
      <c r="X157" s="12">
        <f t="shared" si="87"/>
        <v>126</v>
      </c>
      <c r="Y157" s="12">
        <f>IF(Z157=0,VLOOKUP(W157,Kontenplan!$Y$9:$AA$551,3),"")</f>
        <v>0</v>
      </c>
      <c r="Z157" s="12">
        <f t="shared" si="103"/>
        <v>0</v>
      </c>
      <c r="AA157" s="12" t="str">
        <f t="shared" ca="1" si="104"/>
        <v/>
      </c>
      <c r="AB157" s="46" t="str">
        <f t="shared" ca="1" si="105"/>
        <v/>
      </c>
      <c r="AC157" s="46" t="str">
        <f t="shared" ca="1" si="106"/>
        <v/>
      </c>
      <c r="AD157" s="47"/>
      <c r="AE157" s="12">
        <f>IF(AF157=0,VLOOKUP(X157,Kontenplan!$Z$9:$AB$551,3),"")</f>
        <v>0</v>
      </c>
      <c r="AF157" s="47">
        <f t="shared" si="107"/>
        <v>0</v>
      </c>
      <c r="AG157" s="12" t="str">
        <f t="shared" ca="1" si="108"/>
        <v/>
      </c>
      <c r="AH157" s="46" t="str">
        <f t="shared" ca="1" si="109"/>
        <v/>
      </c>
      <c r="AI157" s="46" t="str">
        <f t="shared" ca="1" si="110"/>
        <v/>
      </c>
      <c r="AJ157" s="46"/>
      <c r="AK157" s="147">
        <f t="shared" ca="1" si="111"/>
        <v>2.0141000000000298</v>
      </c>
      <c r="AL157" s="147">
        <f t="shared" si="112"/>
        <v>2.0144000000000304</v>
      </c>
      <c r="AM157" s="12" t="str">
        <f>IF(V157&lt;=AO$3,VLOOKUP(V157,Kontenplan!$A$9:$D$278,4),"")</f>
        <v/>
      </c>
      <c r="AN157" s="12">
        <f t="shared" si="113"/>
        <v>0</v>
      </c>
      <c r="AO157" s="12" t="str">
        <f t="shared" ca="1" si="114"/>
        <v/>
      </c>
      <c r="AP157" s="46" t="str">
        <f t="shared" ca="1" si="115"/>
        <v/>
      </c>
      <c r="AQ157" s="46" t="str">
        <f t="shared" ca="1" si="116"/>
        <v/>
      </c>
      <c r="AR157" s="46"/>
      <c r="AS157" s="147">
        <f t="shared" ca="1" si="117"/>
        <v>3.0140000000000295</v>
      </c>
      <c r="AT157" s="147">
        <f t="shared" si="118"/>
        <v>2.0145000000000306</v>
      </c>
      <c r="AU157" s="47" t="str">
        <f>IF(V157&lt;=AW$3,VLOOKUP(AO$3+V157,Kontenplan!$A$9:$D$278,4),"")</f>
        <v/>
      </c>
      <c r="AV157" s="12">
        <f t="shared" si="119"/>
        <v>0</v>
      </c>
      <c r="AW157" s="12" t="str">
        <f t="shared" ca="1" si="120"/>
        <v/>
      </c>
      <c r="AX157" s="46" t="str">
        <f t="shared" ca="1" si="88"/>
        <v/>
      </c>
      <c r="AY157" s="46" t="str">
        <f t="shared" ca="1" si="121"/>
        <v/>
      </c>
      <c r="BA157" s="12">
        <f>Kontenplan!R159</f>
        <v>3</v>
      </c>
      <c r="BB157" s="12">
        <f>Kontenplan!S159</f>
        <v>2</v>
      </c>
      <c r="BC157" s="12">
        <f>Kontenplan!T159</f>
        <v>4</v>
      </c>
      <c r="BD157" s="170">
        <f>Kontenplan!U159</f>
        <v>4</v>
      </c>
      <c r="BF157" s="24">
        <f ca="1">SUM(AP$7:AP157)</f>
        <v>0</v>
      </c>
      <c r="BG157" s="46">
        <f ca="1">SUM(AQ$7:AQ156)</f>
        <v>0</v>
      </c>
      <c r="BH157" s="24">
        <f t="shared" ca="1" si="122"/>
        <v>0</v>
      </c>
      <c r="BI157" s="24"/>
      <c r="BJ157" s="24">
        <f ca="1">SUM(AX$7:AX157)</f>
        <v>0</v>
      </c>
      <c r="BK157" s="24">
        <f ca="1">SUM(AY$7:AY156)</f>
        <v>0</v>
      </c>
      <c r="BL157" s="24">
        <f t="shared" ca="1" si="123"/>
        <v>0</v>
      </c>
      <c r="BN157" s="24">
        <f ca="1">SUM(AB$7:AB157)</f>
        <v>0</v>
      </c>
      <c r="BO157" s="46">
        <f ca="1">SUM(AC$7:AC156)</f>
        <v>0</v>
      </c>
      <c r="BP157" s="24">
        <f t="shared" ca="1" si="124"/>
        <v>0</v>
      </c>
      <c r="BR157" s="24">
        <f ca="1">SUM(AH$7:AH157)</f>
        <v>0</v>
      </c>
      <c r="BS157" s="46">
        <f ca="1">SUM(AI$7:AI156)</f>
        <v>0</v>
      </c>
      <c r="BT157" s="24">
        <f t="shared" ca="1" si="125"/>
        <v>0</v>
      </c>
    </row>
    <row r="158" spans="1:72" s="12" customFormat="1">
      <c r="A158" s="202">
        <f>Kontenplan!C160</f>
        <v>0</v>
      </c>
      <c r="B158" s="224">
        <f>Kontenplan!E160</f>
        <v>0</v>
      </c>
      <c r="C158" s="225">
        <f>Kontenplan!F160</f>
        <v>0</v>
      </c>
      <c r="D158" s="43">
        <f>IF(B158=0,0,SUMIF(Journal!$F$7:$F$83,Calc!B158,Journal!$I$7:$I$83))</f>
        <v>0</v>
      </c>
      <c r="E158" s="15">
        <f>IF(B158=0,0,SUMIF(Journal!$G$7:$M232,Calc!B158,Journal!$I$7:$I$83))</f>
        <v>0</v>
      </c>
      <c r="F158" s="44">
        <f t="shared" si="89"/>
        <v>0</v>
      </c>
      <c r="G158" s="15">
        <f t="shared" si="90"/>
        <v>0</v>
      </c>
      <c r="H158" s="14" t="str">
        <f t="shared" si="91"/>
        <v xml:space="preserve"> </v>
      </c>
      <c r="I158" s="43" t="str">
        <f t="shared" si="92"/>
        <v xml:space="preserve"> </v>
      </c>
      <c r="J158" s="45" t="str">
        <f t="shared" si="93"/>
        <v xml:space="preserve"> </v>
      </c>
      <c r="K158" s="48" t="str">
        <f t="shared" si="94"/>
        <v xml:space="preserve"> </v>
      </c>
      <c r="L158" s="45" t="str">
        <f t="shared" si="95"/>
        <v xml:space="preserve"> </v>
      </c>
      <c r="M158" s="48" t="str">
        <f t="shared" si="96"/>
        <v xml:space="preserve"> </v>
      </c>
      <c r="N158" s="24"/>
      <c r="O158" s="12">
        <f t="shared" si="97"/>
        <v>10.028399999999934</v>
      </c>
      <c r="P158" s="12">
        <f t="shared" si="98"/>
        <v>9.026599999999938</v>
      </c>
      <c r="Q158" s="12">
        <f t="shared" si="99"/>
        <v>31.020399999999952</v>
      </c>
      <c r="R158" s="12">
        <f t="shared" si="100"/>
        <v>29.014599999999966</v>
      </c>
      <c r="S158" s="12">
        <f t="shared" si="101"/>
        <v>0</v>
      </c>
      <c r="T158" s="12">
        <f t="shared" si="102"/>
        <v>0</v>
      </c>
      <c r="U158" s="43">
        <f>IF(OR(A158=Kontenplan!$C$3,A158=Kontenplan!$C$5),F158-G158,G158-F158)</f>
        <v>0</v>
      </c>
      <c r="V158" s="171">
        <f t="shared" si="85"/>
        <v>152</v>
      </c>
      <c r="W158" s="12">
        <f t="shared" si="86"/>
        <v>125</v>
      </c>
      <c r="X158" s="12">
        <f t="shared" si="87"/>
        <v>127</v>
      </c>
      <c r="Y158" s="12">
        <f>IF(Z158=0,VLOOKUP(W158,Kontenplan!$Y$9:$AA$551,3),"")</f>
        <v>0</v>
      </c>
      <c r="Z158" s="12">
        <f t="shared" si="103"/>
        <v>0</v>
      </c>
      <c r="AA158" s="12" t="str">
        <f t="shared" ca="1" si="104"/>
        <v/>
      </c>
      <c r="AB158" s="46" t="str">
        <f t="shared" ca="1" si="105"/>
        <v/>
      </c>
      <c r="AC158" s="46" t="str">
        <f t="shared" ca="1" si="106"/>
        <v/>
      </c>
      <c r="AD158" s="47"/>
      <c r="AE158" s="12">
        <f>IF(AF158=0,VLOOKUP(X158,Kontenplan!$Z$9:$AB$551,3),"")</f>
        <v>0</v>
      </c>
      <c r="AF158" s="47">
        <f t="shared" si="107"/>
        <v>0</v>
      </c>
      <c r="AG158" s="12" t="str">
        <f t="shared" ca="1" si="108"/>
        <v/>
      </c>
      <c r="AH158" s="46" t="str">
        <f t="shared" ca="1" si="109"/>
        <v/>
      </c>
      <c r="AI158" s="46" t="str">
        <f t="shared" ca="1" si="110"/>
        <v/>
      </c>
      <c r="AJ158" s="46"/>
      <c r="AK158" s="147">
        <f t="shared" ca="1" si="111"/>
        <v>2.01420000000003</v>
      </c>
      <c r="AL158" s="147">
        <f t="shared" si="112"/>
        <v>2.0145000000000306</v>
      </c>
      <c r="AM158" s="12" t="str">
        <f>IF(V158&lt;=AO$3,VLOOKUP(V158,Kontenplan!$A$9:$D$278,4),"")</f>
        <v/>
      </c>
      <c r="AN158" s="12">
        <f t="shared" si="113"/>
        <v>0</v>
      </c>
      <c r="AO158" s="12" t="str">
        <f t="shared" ca="1" si="114"/>
        <v/>
      </c>
      <c r="AP158" s="46" t="str">
        <f t="shared" ca="1" si="115"/>
        <v/>
      </c>
      <c r="AQ158" s="46" t="str">
        <f t="shared" ca="1" si="116"/>
        <v/>
      </c>
      <c r="AR158" s="46"/>
      <c r="AS158" s="147">
        <f t="shared" ca="1" si="117"/>
        <v>3.0141000000000298</v>
      </c>
      <c r="AT158" s="147">
        <f t="shared" si="118"/>
        <v>2.0146000000000308</v>
      </c>
      <c r="AU158" s="47" t="str">
        <f>IF(V158&lt;=AW$3,VLOOKUP(AO$3+V158,Kontenplan!$A$9:$D$278,4),"")</f>
        <v/>
      </c>
      <c r="AV158" s="12">
        <f t="shared" si="119"/>
        <v>0</v>
      </c>
      <c r="AW158" s="12" t="str">
        <f t="shared" ca="1" si="120"/>
        <v/>
      </c>
      <c r="AX158" s="46" t="str">
        <f t="shared" ca="1" si="88"/>
        <v/>
      </c>
      <c r="AY158" s="46" t="str">
        <f t="shared" ca="1" si="121"/>
        <v/>
      </c>
      <c r="BA158" s="12">
        <f>Kontenplan!R160</f>
        <v>3</v>
      </c>
      <c r="BB158" s="12">
        <f>Kontenplan!S160</f>
        <v>2</v>
      </c>
      <c r="BC158" s="12">
        <f>Kontenplan!T160</f>
        <v>4</v>
      </c>
      <c r="BD158" s="170">
        <f>Kontenplan!U160</f>
        <v>4</v>
      </c>
      <c r="BF158" s="24">
        <f ca="1">SUM(AP$7:AP158)</f>
        <v>0</v>
      </c>
      <c r="BG158" s="46">
        <f ca="1">SUM(AQ$7:AQ157)</f>
        <v>0</v>
      </c>
      <c r="BH158" s="24">
        <f t="shared" ca="1" si="122"/>
        <v>0</v>
      </c>
      <c r="BI158" s="24"/>
      <c r="BJ158" s="24">
        <f ca="1">SUM(AX$7:AX158)</f>
        <v>0</v>
      </c>
      <c r="BK158" s="24">
        <f ca="1">SUM(AY$7:AY157)</f>
        <v>0</v>
      </c>
      <c r="BL158" s="24">
        <f t="shared" ca="1" si="123"/>
        <v>0</v>
      </c>
      <c r="BN158" s="24">
        <f ca="1">SUM(AB$7:AB158)</f>
        <v>0</v>
      </c>
      <c r="BO158" s="46">
        <f ca="1">SUM(AC$7:AC157)</f>
        <v>0</v>
      </c>
      <c r="BP158" s="24">
        <f t="shared" ca="1" si="124"/>
        <v>0</v>
      </c>
      <c r="BR158" s="24">
        <f ca="1">SUM(AH$7:AH158)</f>
        <v>0</v>
      </c>
      <c r="BS158" s="46">
        <f ca="1">SUM(AI$7:AI157)</f>
        <v>0</v>
      </c>
      <c r="BT158" s="24">
        <f t="shared" ca="1" si="125"/>
        <v>0</v>
      </c>
    </row>
    <row r="159" spans="1:72" s="12" customFormat="1">
      <c r="A159" s="202">
        <f>Kontenplan!C161</f>
        <v>0</v>
      </c>
      <c r="B159" s="224">
        <f>Kontenplan!E161</f>
        <v>0</v>
      </c>
      <c r="C159" s="225">
        <f>Kontenplan!F161</f>
        <v>0</v>
      </c>
      <c r="D159" s="43">
        <f>IF(B159=0,0,SUMIF(Journal!$F$7:$F$83,Calc!B159,Journal!$I$7:$I$83))</f>
        <v>0</v>
      </c>
      <c r="E159" s="15">
        <f>IF(B159=0,0,SUMIF(Journal!$G$7:$M233,Calc!B159,Journal!$I$7:$I$83))</f>
        <v>0</v>
      </c>
      <c r="F159" s="44">
        <f t="shared" si="89"/>
        <v>0</v>
      </c>
      <c r="G159" s="15">
        <f t="shared" si="90"/>
        <v>0</v>
      </c>
      <c r="H159" s="14" t="str">
        <f t="shared" si="91"/>
        <v xml:space="preserve"> </v>
      </c>
      <c r="I159" s="43" t="str">
        <f t="shared" si="92"/>
        <v xml:space="preserve"> </v>
      </c>
      <c r="J159" s="45" t="str">
        <f t="shared" si="93"/>
        <v xml:space="preserve"> </v>
      </c>
      <c r="K159" s="48" t="str">
        <f t="shared" si="94"/>
        <v xml:space="preserve"> </v>
      </c>
      <c r="L159" s="45" t="str">
        <f t="shared" si="95"/>
        <v xml:space="preserve"> </v>
      </c>
      <c r="M159" s="48" t="str">
        <f t="shared" si="96"/>
        <v xml:space="preserve"> </v>
      </c>
      <c r="N159" s="24"/>
      <c r="O159" s="12">
        <f t="shared" si="97"/>
        <v>10.028599999999933</v>
      </c>
      <c r="P159" s="12">
        <f t="shared" si="98"/>
        <v>9.0267999999999375</v>
      </c>
      <c r="Q159" s="12">
        <f t="shared" si="99"/>
        <v>31.020599999999952</v>
      </c>
      <c r="R159" s="12">
        <f t="shared" si="100"/>
        <v>29.014799999999966</v>
      </c>
      <c r="S159" s="12">
        <f t="shared" si="101"/>
        <v>0</v>
      </c>
      <c r="T159" s="12">
        <f t="shared" si="102"/>
        <v>0</v>
      </c>
      <c r="U159" s="43">
        <f>IF(OR(A159=Kontenplan!$C$3,A159=Kontenplan!$C$5),F159-G159,G159-F159)</f>
        <v>0</v>
      </c>
      <c r="V159" s="171">
        <f t="shared" si="85"/>
        <v>153</v>
      </c>
      <c r="W159" s="12">
        <f t="shared" si="86"/>
        <v>126</v>
      </c>
      <c r="X159" s="12">
        <f t="shared" si="87"/>
        <v>128</v>
      </c>
      <c r="Y159" s="12">
        <f>IF(Z159=0,VLOOKUP(W159,Kontenplan!$Y$9:$AA$551,3),"")</f>
        <v>0</v>
      </c>
      <c r="Z159" s="12">
        <f t="shared" si="103"/>
        <v>0</v>
      </c>
      <c r="AA159" s="12" t="str">
        <f t="shared" ca="1" si="104"/>
        <v/>
      </c>
      <c r="AB159" s="46" t="str">
        <f t="shared" ca="1" si="105"/>
        <v/>
      </c>
      <c r="AC159" s="46" t="str">
        <f t="shared" ca="1" si="106"/>
        <v/>
      </c>
      <c r="AD159" s="47"/>
      <c r="AE159" s="12">
        <f>IF(AF159=0,VLOOKUP(X159,Kontenplan!$Z$9:$AB$551,3),"")</f>
        <v>0</v>
      </c>
      <c r="AF159" s="47">
        <f t="shared" si="107"/>
        <v>0</v>
      </c>
      <c r="AG159" s="12" t="str">
        <f t="shared" ca="1" si="108"/>
        <v/>
      </c>
      <c r="AH159" s="46" t="str">
        <f t="shared" ca="1" si="109"/>
        <v/>
      </c>
      <c r="AI159" s="46" t="str">
        <f t="shared" ca="1" si="110"/>
        <v/>
      </c>
      <c r="AJ159" s="46"/>
      <c r="AK159" s="147">
        <f t="shared" ca="1" si="111"/>
        <v>2.0143000000000302</v>
      </c>
      <c r="AL159" s="147">
        <f t="shared" si="112"/>
        <v>2.0146000000000308</v>
      </c>
      <c r="AM159" s="12" t="str">
        <f>IF(V159&lt;=AO$3,VLOOKUP(V159,Kontenplan!$A$9:$D$278,4),"")</f>
        <v/>
      </c>
      <c r="AN159" s="12">
        <f t="shared" si="113"/>
        <v>0</v>
      </c>
      <c r="AO159" s="12" t="str">
        <f t="shared" ca="1" si="114"/>
        <v/>
      </c>
      <c r="AP159" s="46" t="str">
        <f t="shared" ca="1" si="115"/>
        <v/>
      </c>
      <c r="AQ159" s="46" t="str">
        <f t="shared" ca="1" si="116"/>
        <v/>
      </c>
      <c r="AR159" s="46"/>
      <c r="AS159" s="147">
        <f t="shared" ca="1" si="117"/>
        <v>3.01420000000003</v>
      </c>
      <c r="AT159" s="147">
        <f t="shared" si="118"/>
        <v>2.014700000000031</v>
      </c>
      <c r="AU159" s="47" t="str">
        <f>IF(V159&lt;=AW$3,VLOOKUP(AO$3+V159,Kontenplan!$A$9:$D$278,4),"")</f>
        <v/>
      </c>
      <c r="AV159" s="12">
        <f t="shared" si="119"/>
        <v>0</v>
      </c>
      <c r="AW159" s="12" t="str">
        <f t="shared" ca="1" si="120"/>
        <v/>
      </c>
      <c r="AX159" s="46" t="str">
        <f t="shared" ca="1" si="88"/>
        <v/>
      </c>
      <c r="AY159" s="46" t="str">
        <f t="shared" ca="1" si="121"/>
        <v/>
      </c>
      <c r="BA159" s="12">
        <f>Kontenplan!R161</f>
        <v>3</v>
      </c>
      <c r="BB159" s="12">
        <f>Kontenplan!S161</f>
        <v>2</v>
      </c>
      <c r="BC159" s="12">
        <f>Kontenplan!T161</f>
        <v>4</v>
      </c>
      <c r="BD159" s="170">
        <f>Kontenplan!U161</f>
        <v>4</v>
      </c>
      <c r="BF159" s="24">
        <f ca="1">SUM(AP$7:AP159)</f>
        <v>0</v>
      </c>
      <c r="BG159" s="46">
        <f ca="1">SUM(AQ$7:AQ158)</f>
        <v>0</v>
      </c>
      <c r="BH159" s="24">
        <f t="shared" ca="1" si="122"/>
        <v>0</v>
      </c>
      <c r="BI159" s="24"/>
      <c r="BJ159" s="24">
        <f ca="1">SUM(AX$7:AX159)</f>
        <v>0</v>
      </c>
      <c r="BK159" s="24">
        <f ca="1">SUM(AY$7:AY158)</f>
        <v>0</v>
      </c>
      <c r="BL159" s="24">
        <f t="shared" ca="1" si="123"/>
        <v>0</v>
      </c>
      <c r="BN159" s="24">
        <f ca="1">SUM(AB$7:AB159)</f>
        <v>0</v>
      </c>
      <c r="BO159" s="46">
        <f ca="1">SUM(AC$7:AC158)</f>
        <v>0</v>
      </c>
      <c r="BP159" s="24">
        <f t="shared" ca="1" si="124"/>
        <v>0</v>
      </c>
      <c r="BR159" s="24">
        <f ca="1">SUM(AH$7:AH159)</f>
        <v>0</v>
      </c>
      <c r="BS159" s="46">
        <f ca="1">SUM(AI$7:AI158)</f>
        <v>0</v>
      </c>
      <c r="BT159" s="24">
        <f t="shared" ca="1" si="125"/>
        <v>0</v>
      </c>
    </row>
    <row r="160" spans="1:72" s="12" customFormat="1">
      <c r="A160" s="202">
        <f>Kontenplan!C162</f>
        <v>0</v>
      </c>
      <c r="B160" s="224">
        <f>Kontenplan!E162</f>
        <v>0</v>
      </c>
      <c r="C160" s="225">
        <f>Kontenplan!F162</f>
        <v>0</v>
      </c>
      <c r="D160" s="43">
        <f>IF(B160=0,0,SUMIF(Journal!$F$7:$F$83,Calc!B160,Journal!$I$7:$I$83))</f>
        <v>0</v>
      </c>
      <c r="E160" s="15">
        <f>IF(B160=0,0,SUMIF(Journal!$G$7:$M234,Calc!B160,Journal!$I$7:$I$83))</f>
        <v>0</v>
      </c>
      <c r="F160" s="44">
        <f t="shared" si="89"/>
        <v>0</v>
      </c>
      <c r="G160" s="15">
        <f t="shared" si="90"/>
        <v>0</v>
      </c>
      <c r="H160" s="14" t="str">
        <f t="shared" si="91"/>
        <v xml:space="preserve"> </v>
      </c>
      <c r="I160" s="43" t="str">
        <f t="shared" si="92"/>
        <v xml:space="preserve"> </v>
      </c>
      <c r="J160" s="45" t="str">
        <f t="shared" si="93"/>
        <v xml:space="preserve"> </v>
      </c>
      <c r="K160" s="48" t="str">
        <f t="shared" si="94"/>
        <v xml:space="preserve"> </v>
      </c>
      <c r="L160" s="45" t="str">
        <f t="shared" si="95"/>
        <v xml:space="preserve"> </v>
      </c>
      <c r="M160" s="48" t="str">
        <f t="shared" si="96"/>
        <v xml:space="preserve"> </v>
      </c>
      <c r="N160" s="24"/>
      <c r="O160" s="12">
        <f t="shared" si="97"/>
        <v>10.028799999999933</v>
      </c>
      <c r="P160" s="12">
        <f t="shared" si="98"/>
        <v>9.0269999999999371</v>
      </c>
      <c r="Q160" s="12">
        <f t="shared" si="99"/>
        <v>31.020799999999952</v>
      </c>
      <c r="R160" s="12">
        <f t="shared" si="100"/>
        <v>29.014999999999965</v>
      </c>
      <c r="S160" s="12">
        <f t="shared" si="101"/>
        <v>0</v>
      </c>
      <c r="T160" s="12">
        <f t="shared" si="102"/>
        <v>0</v>
      </c>
      <c r="U160" s="43">
        <f>IF(OR(A160=Kontenplan!$C$3,A160=Kontenplan!$C$5),F160-G160,G160-F160)</f>
        <v>0</v>
      </c>
      <c r="V160" s="171">
        <f t="shared" si="85"/>
        <v>154</v>
      </c>
      <c r="W160" s="12">
        <f t="shared" si="86"/>
        <v>127</v>
      </c>
      <c r="X160" s="12">
        <f t="shared" si="87"/>
        <v>129</v>
      </c>
      <c r="Y160" s="12">
        <f>IF(Z160=0,VLOOKUP(W160,Kontenplan!$Y$9:$AA$551,3),"")</f>
        <v>0</v>
      </c>
      <c r="Z160" s="12">
        <f t="shared" si="103"/>
        <v>0</v>
      </c>
      <c r="AA160" s="12" t="str">
        <f t="shared" ca="1" si="104"/>
        <v/>
      </c>
      <c r="AB160" s="46" t="str">
        <f t="shared" ca="1" si="105"/>
        <v/>
      </c>
      <c r="AC160" s="46" t="str">
        <f t="shared" ca="1" si="106"/>
        <v/>
      </c>
      <c r="AD160" s="47"/>
      <c r="AE160" s="12">
        <f>IF(AF160=0,VLOOKUP(X160,Kontenplan!$Z$9:$AB$551,3),"")</f>
        <v>0</v>
      </c>
      <c r="AF160" s="47">
        <f t="shared" si="107"/>
        <v>0</v>
      </c>
      <c r="AG160" s="12" t="str">
        <f t="shared" ca="1" si="108"/>
        <v/>
      </c>
      <c r="AH160" s="46" t="str">
        <f t="shared" ca="1" si="109"/>
        <v/>
      </c>
      <c r="AI160" s="46" t="str">
        <f t="shared" ca="1" si="110"/>
        <v/>
      </c>
      <c r="AJ160" s="46"/>
      <c r="AK160" s="147">
        <f t="shared" ca="1" si="111"/>
        <v>2.0144000000000304</v>
      </c>
      <c r="AL160" s="147">
        <f t="shared" si="112"/>
        <v>2.014700000000031</v>
      </c>
      <c r="AM160" s="12" t="str">
        <f>IF(V160&lt;=AO$3,VLOOKUP(V160,Kontenplan!$A$9:$D$278,4),"")</f>
        <v/>
      </c>
      <c r="AN160" s="12">
        <f t="shared" si="113"/>
        <v>0</v>
      </c>
      <c r="AO160" s="12" t="str">
        <f t="shared" ca="1" si="114"/>
        <v/>
      </c>
      <c r="AP160" s="46" t="str">
        <f t="shared" ca="1" si="115"/>
        <v/>
      </c>
      <c r="AQ160" s="46" t="str">
        <f t="shared" ca="1" si="116"/>
        <v/>
      </c>
      <c r="AR160" s="46"/>
      <c r="AS160" s="147">
        <f t="shared" ca="1" si="117"/>
        <v>3.0143000000000302</v>
      </c>
      <c r="AT160" s="147">
        <f t="shared" si="118"/>
        <v>2.0148000000000312</v>
      </c>
      <c r="AU160" s="47" t="str">
        <f>IF(V160&lt;=AW$3,VLOOKUP(AO$3+V160,Kontenplan!$A$9:$D$278,4),"")</f>
        <v/>
      </c>
      <c r="AV160" s="12">
        <f t="shared" si="119"/>
        <v>0</v>
      </c>
      <c r="AW160" s="12" t="str">
        <f t="shared" ca="1" si="120"/>
        <v/>
      </c>
      <c r="AX160" s="46" t="str">
        <f t="shared" ca="1" si="88"/>
        <v/>
      </c>
      <c r="AY160" s="46" t="str">
        <f t="shared" ca="1" si="121"/>
        <v/>
      </c>
      <c r="BA160" s="12">
        <f>Kontenplan!R162</f>
        <v>3</v>
      </c>
      <c r="BB160" s="12">
        <f>Kontenplan!S162</f>
        <v>2</v>
      </c>
      <c r="BC160" s="12">
        <f>Kontenplan!T162</f>
        <v>4</v>
      </c>
      <c r="BD160" s="170">
        <f>Kontenplan!U162</f>
        <v>4</v>
      </c>
      <c r="BF160" s="24">
        <f ca="1">SUM(AP$7:AP160)</f>
        <v>0</v>
      </c>
      <c r="BG160" s="46">
        <f ca="1">SUM(AQ$7:AQ159)</f>
        <v>0</v>
      </c>
      <c r="BH160" s="24">
        <f t="shared" ca="1" si="122"/>
        <v>0</v>
      </c>
      <c r="BI160" s="24"/>
      <c r="BJ160" s="24">
        <f ca="1">SUM(AX$7:AX160)</f>
        <v>0</v>
      </c>
      <c r="BK160" s="24">
        <f ca="1">SUM(AY$7:AY159)</f>
        <v>0</v>
      </c>
      <c r="BL160" s="24">
        <f t="shared" ca="1" si="123"/>
        <v>0</v>
      </c>
      <c r="BN160" s="24">
        <f ca="1">SUM(AB$7:AB160)</f>
        <v>0</v>
      </c>
      <c r="BO160" s="46">
        <f ca="1">SUM(AC$7:AC159)</f>
        <v>0</v>
      </c>
      <c r="BP160" s="24">
        <f t="shared" ca="1" si="124"/>
        <v>0</v>
      </c>
      <c r="BR160" s="24">
        <f ca="1">SUM(AH$7:AH160)</f>
        <v>0</v>
      </c>
      <c r="BS160" s="46">
        <f ca="1">SUM(AI$7:AI159)</f>
        <v>0</v>
      </c>
      <c r="BT160" s="24">
        <f t="shared" ca="1" si="125"/>
        <v>0</v>
      </c>
    </row>
    <row r="161" spans="1:72" s="12" customFormat="1">
      <c r="A161" s="202">
        <f>Kontenplan!C163</f>
        <v>0</v>
      </c>
      <c r="B161" s="224">
        <f>Kontenplan!E163</f>
        <v>0</v>
      </c>
      <c r="C161" s="225">
        <f>Kontenplan!F163</f>
        <v>0</v>
      </c>
      <c r="D161" s="43">
        <f>IF(B161=0,0,SUMIF(Journal!$F$7:$F$83,Calc!B161,Journal!$I$7:$I$83))</f>
        <v>0</v>
      </c>
      <c r="E161" s="15">
        <f>IF(B161=0,0,SUMIF(Journal!$G$7:$M235,Calc!B161,Journal!$I$7:$I$83))</f>
        <v>0</v>
      </c>
      <c r="F161" s="44">
        <f t="shared" si="89"/>
        <v>0</v>
      </c>
      <c r="G161" s="15">
        <f t="shared" si="90"/>
        <v>0</v>
      </c>
      <c r="H161" s="14" t="str">
        <f t="shared" si="91"/>
        <v xml:space="preserve"> </v>
      </c>
      <c r="I161" s="43" t="str">
        <f t="shared" si="92"/>
        <v xml:space="preserve"> </v>
      </c>
      <c r="J161" s="45" t="str">
        <f t="shared" si="93"/>
        <v xml:space="preserve"> </v>
      </c>
      <c r="K161" s="48" t="str">
        <f t="shared" si="94"/>
        <v xml:space="preserve"> </v>
      </c>
      <c r="L161" s="45" t="str">
        <f t="shared" si="95"/>
        <v xml:space="preserve"> </v>
      </c>
      <c r="M161" s="48" t="str">
        <f t="shared" si="96"/>
        <v xml:space="preserve"> </v>
      </c>
      <c r="N161" s="24"/>
      <c r="O161" s="12">
        <f t="shared" si="97"/>
        <v>10.028999999999932</v>
      </c>
      <c r="P161" s="12">
        <f t="shared" si="98"/>
        <v>9.0271999999999366</v>
      </c>
      <c r="Q161" s="12">
        <f t="shared" si="99"/>
        <v>31.020999999999951</v>
      </c>
      <c r="R161" s="12">
        <f t="shared" si="100"/>
        <v>29.015199999999965</v>
      </c>
      <c r="S161" s="12">
        <f t="shared" si="101"/>
        <v>0</v>
      </c>
      <c r="T161" s="12">
        <f t="shared" si="102"/>
        <v>0</v>
      </c>
      <c r="U161" s="43">
        <f>IF(OR(A161=Kontenplan!$C$3,A161=Kontenplan!$C$5),F161-G161,G161-F161)</f>
        <v>0</v>
      </c>
      <c r="V161" s="171">
        <f t="shared" si="85"/>
        <v>155</v>
      </c>
      <c r="W161" s="12">
        <f t="shared" si="86"/>
        <v>128</v>
      </c>
      <c r="X161" s="12">
        <f t="shared" si="87"/>
        <v>130</v>
      </c>
      <c r="Y161" s="12">
        <f>IF(Z161=0,VLOOKUP(W161,Kontenplan!$Y$9:$AA$551,3),"")</f>
        <v>0</v>
      </c>
      <c r="Z161" s="12">
        <f t="shared" si="103"/>
        <v>0</v>
      </c>
      <c r="AA161" s="12" t="str">
        <f t="shared" ca="1" si="104"/>
        <v/>
      </c>
      <c r="AB161" s="46" t="str">
        <f t="shared" ca="1" si="105"/>
        <v/>
      </c>
      <c r="AC161" s="46" t="str">
        <f t="shared" ca="1" si="106"/>
        <v/>
      </c>
      <c r="AD161" s="47"/>
      <c r="AE161" s="12">
        <f>IF(AF161=0,VLOOKUP(X161,Kontenplan!$Z$9:$AB$551,3),"")</f>
        <v>0</v>
      </c>
      <c r="AF161" s="47">
        <f t="shared" si="107"/>
        <v>0</v>
      </c>
      <c r="AG161" s="12" t="str">
        <f t="shared" ca="1" si="108"/>
        <v/>
      </c>
      <c r="AH161" s="46" t="str">
        <f t="shared" ca="1" si="109"/>
        <v/>
      </c>
      <c r="AI161" s="46" t="str">
        <f t="shared" ca="1" si="110"/>
        <v/>
      </c>
      <c r="AJ161" s="46"/>
      <c r="AK161" s="147">
        <f t="shared" ca="1" si="111"/>
        <v>2.0145000000000306</v>
      </c>
      <c r="AL161" s="147">
        <f t="shared" si="112"/>
        <v>2.0148000000000312</v>
      </c>
      <c r="AM161" s="12" t="str">
        <f>IF(V161&lt;=AO$3,VLOOKUP(V161,Kontenplan!$A$9:$D$278,4),"")</f>
        <v/>
      </c>
      <c r="AN161" s="12">
        <f t="shared" si="113"/>
        <v>0</v>
      </c>
      <c r="AO161" s="12" t="str">
        <f t="shared" ca="1" si="114"/>
        <v/>
      </c>
      <c r="AP161" s="46" t="str">
        <f t="shared" ca="1" si="115"/>
        <v/>
      </c>
      <c r="AQ161" s="46" t="str">
        <f t="shared" ca="1" si="116"/>
        <v/>
      </c>
      <c r="AR161" s="46"/>
      <c r="AS161" s="147">
        <f t="shared" ca="1" si="117"/>
        <v>3.0144000000000304</v>
      </c>
      <c r="AT161" s="147">
        <f t="shared" si="118"/>
        <v>2.0149000000000314</v>
      </c>
      <c r="AU161" s="47" t="str">
        <f>IF(V161&lt;=AW$3,VLOOKUP(AO$3+V161,Kontenplan!$A$9:$D$278,4),"")</f>
        <v/>
      </c>
      <c r="AV161" s="12">
        <f t="shared" si="119"/>
        <v>0</v>
      </c>
      <c r="AW161" s="12" t="str">
        <f t="shared" ca="1" si="120"/>
        <v/>
      </c>
      <c r="AX161" s="46" t="str">
        <f t="shared" ca="1" si="88"/>
        <v/>
      </c>
      <c r="AY161" s="46" t="str">
        <f t="shared" ca="1" si="121"/>
        <v/>
      </c>
      <c r="BA161" s="12">
        <f>Kontenplan!R163</f>
        <v>3</v>
      </c>
      <c r="BB161" s="12">
        <f>Kontenplan!S163</f>
        <v>2</v>
      </c>
      <c r="BC161" s="12">
        <f>Kontenplan!T163</f>
        <v>4</v>
      </c>
      <c r="BD161" s="170">
        <f>Kontenplan!U163</f>
        <v>4</v>
      </c>
      <c r="BF161" s="24">
        <f ca="1">SUM(AP$7:AP161)</f>
        <v>0</v>
      </c>
      <c r="BG161" s="46">
        <f ca="1">SUM(AQ$7:AQ160)</f>
        <v>0</v>
      </c>
      <c r="BH161" s="24">
        <f t="shared" ca="1" si="122"/>
        <v>0</v>
      </c>
      <c r="BI161" s="24"/>
      <c r="BJ161" s="24">
        <f ca="1">SUM(AX$7:AX161)</f>
        <v>0</v>
      </c>
      <c r="BK161" s="24">
        <f ca="1">SUM(AY$7:AY160)</f>
        <v>0</v>
      </c>
      <c r="BL161" s="24">
        <f t="shared" ca="1" si="123"/>
        <v>0</v>
      </c>
      <c r="BN161" s="24">
        <f ca="1">SUM(AB$7:AB161)</f>
        <v>0</v>
      </c>
      <c r="BO161" s="46">
        <f ca="1">SUM(AC$7:AC160)</f>
        <v>0</v>
      </c>
      <c r="BP161" s="24">
        <f t="shared" ca="1" si="124"/>
        <v>0</v>
      </c>
      <c r="BR161" s="24">
        <f ca="1">SUM(AH$7:AH161)</f>
        <v>0</v>
      </c>
      <c r="BS161" s="46">
        <f ca="1">SUM(AI$7:AI160)</f>
        <v>0</v>
      </c>
      <c r="BT161" s="24">
        <f t="shared" ca="1" si="125"/>
        <v>0</v>
      </c>
    </row>
    <row r="162" spans="1:72" s="12" customFormat="1">
      <c r="A162" s="202">
        <f>Kontenplan!C164</f>
        <v>0</v>
      </c>
      <c r="B162" s="224">
        <f>Kontenplan!E164</f>
        <v>0</v>
      </c>
      <c r="C162" s="225">
        <f>Kontenplan!F164</f>
        <v>0</v>
      </c>
      <c r="D162" s="43">
        <f>IF(B162=0,0,SUMIF(Journal!$F$7:$F$83,Calc!B162,Journal!$I$7:$I$83))</f>
        <v>0</v>
      </c>
      <c r="E162" s="15">
        <f>IF(B162=0,0,SUMIF(Journal!$G$7:$M236,Calc!B162,Journal!$I$7:$I$83))</f>
        <v>0</v>
      </c>
      <c r="F162" s="44">
        <f t="shared" si="89"/>
        <v>0</v>
      </c>
      <c r="G162" s="15">
        <f t="shared" si="90"/>
        <v>0</v>
      </c>
      <c r="H162" s="14" t="str">
        <f t="shared" si="91"/>
        <v xml:space="preserve"> </v>
      </c>
      <c r="I162" s="43" t="str">
        <f t="shared" si="92"/>
        <v xml:space="preserve"> </v>
      </c>
      <c r="J162" s="45" t="str">
        <f t="shared" si="93"/>
        <v xml:space="preserve"> </v>
      </c>
      <c r="K162" s="48" t="str">
        <f t="shared" si="94"/>
        <v xml:space="preserve"> </v>
      </c>
      <c r="L162" s="45" t="str">
        <f t="shared" si="95"/>
        <v xml:space="preserve"> </v>
      </c>
      <c r="M162" s="48" t="str">
        <f t="shared" si="96"/>
        <v xml:space="preserve"> </v>
      </c>
      <c r="N162" s="24"/>
      <c r="O162" s="12">
        <f t="shared" si="97"/>
        <v>10.029199999999932</v>
      </c>
      <c r="P162" s="12">
        <f t="shared" si="98"/>
        <v>9.0273999999999361</v>
      </c>
      <c r="Q162" s="12">
        <f t="shared" si="99"/>
        <v>31.021199999999951</v>
      </c>
      <c r="R162" s="12">
        <f t="shared" si="100"/>
        <v>29.015399999999964</v>
      </c>
      <c r="S162" s="12">
        <f t="shared" si="101"/>
        <v>0</v>
      </c>
      <c r="T162" s="12">
        <f t="shared" si="102"/>
        <v>0</v>
      </c>
      <c r="U162" s="43">
        <f>IF(OR(A162=Kontenplan!$C$3,A162=Kontenplan!$C$5),F162-G162,G162-F162)</f>
        <v>0</v>
      </c>
      <c r="V162" s="171">
        <f t="shared" si="85"/>
        <v>156</v>
      </c>
      <c r="W162" s="12">
        <f t="shared" si="86"/>
        <v>129</v>
      </c>
      <c r="X162" s="12">
        <f t="shared" si="87"/>
        <v>131</v>
      </c>
      <c r="Y162" s="12">
        <f>IF(Z162=0,VLOOKUP(W162,Kontenplan!$Y$9:$AA$551,3),"")</f>
        <v>0</v>
      </c>
      <c r="Z162" s="12">
        <f t="shared" si="103"/>
        <v>0</v>
      </c>
      <c r="AA162" s="12" t="str">
        <f t="shared" ca="1" si="104"/>
        <v/>
      </c>
      <c r="AB162" s="46" t="str">
        <f t="shared" ca="1" si="105"/>
        <v/>
      </c>
      <c r="AC162" s="46" t="str">
        <f t="shared" ca="1" si="106"/>
        <v/>
      </c>
      <c r="AD162" s="47"/>
      <c r="AE162" s="12">
        <f>IF(AF162=0,VLOOKUP(X162,Kontenplan!$Z$9:$AB$551,3),"")</f>
        <v>0</v>
      </c>
      <c r="AF162" s="47">
        <f t="shared" si="107"/>
        <v>0</v>
      </c>
      <c r="AG162" s="12" t="str">
        <f t="shared" ca="1" si="108"/>
        <v/>
      </c>
      <c r="AH162" s="46" t="str">
        <f t="shared" ca="1" si="109"/>
        <v/>
      </c>
      <c r="AI162" s="46" t="str">
        <f t="shared" ca="1" si="110"/>
        <v/>
      </c>
      <c r="AJ162" s="46"/>
      <c r="AK162" s="147">
        <f t="shared" ca="1" si="111"/>
        <v>2.0146000000000308</v>
      </c>
      <c r="AL162" s="147">
        <f t="shared" si="112"/>
        <v>2.0149000000000314</v>
      </c>
      <c r="AM162" s="12" t="str">
        <f>IF(V162&lt;=AO$3,VLOOKUP(V162,Kontenplan!$A$9:$D$278,4),"")</f>
        <v/>
      </c>
      <c r="AN162" s="12">
        <f t="shared" si="113"/>
        <v>0</v>
      </c>
      <c r="AO162" s="12" t="str">
        <f t="shared" ca="1" si="114"/>
        <v/>
      </c>
      <c r="AP162" s="46" t="str">
        <f t="shared" ca="1" si="115"/>
        <v/>
      </c>
      <c r="AQ162" s="46" t="str">
        <f t="shared" ca="1" si="116"/>
        <v/>
      </c>
      <c r="AR162" s="46"/>
      <c r="AS162" s="147">
        <f t="shared" ca="1" si="117"/>
        <v>3.0145000000000306</v>
      </c>
      <c r="AT162" s="147">
        <f t="shared" si="118"/>
        <v>2.0150000000000317</v>
      </c>
      <c r="AU162" s="47" t="str">
        <f>IF(V162&lt;=AW$3,VLOOKUP(AO$3+V162,Kontenplan!$A$9:$D$278,4),"")</f>
        <v/>
      </c>
      <c r="AV162" s="12">
        <f t="shared" si="119"/>
        <v>0</v>
      </c>
      <c r="AW162" s="12" t="str">
        <f t="shared" ca="1" si="120"/>
        <v/>
      </c>
      <c r="AX162" s="46" t="str">
        <f t="shared" ca="1" si="88"/>
        <v/>
      </c>
      <c r="AY162" s="46" t="str">
        <f t="shared" ca="1" si="121"/>
        <v/>
      </c>
      <c r="BA162" s="12">
        <f>Kontenplan!R164</f>
        <v>3</v>
      </c>
      <c r="BB162" s="12">
        <f>Kontenplan!S164</f>
        <v>2</v>
      </c>
      <c r="BC162" s="12">
        <f>Kontenplan!T164</f>
        <v>4</v>
      </c>
      <c r="BD162" s="170">
        <f>Kontenplan!U164</f>
        <v>4</v>
      </c>
      <c r="BF162" s="24">
        <f ca="1">SUM(AP$7:AP162)</f>
        <v>0</v>
      </c>
      <c r="BG162" s="46">
        <f ca="1">SUM(AQ$7:AQ161)</f>
        <v>0</v>
      </c>
      <c r="BH162" s="24">
        <f t="shared" ca="1" si="122"/>
        <v>0</v>
      </c>
      <c r="BI162" s="24"/>
      <c r="BJ162" s="24">
        <f ca="1">SUM(AX$7:AX162)</f>
        <v>0</v>
      </c>
      <c r="BK162" s="24">
        <f ca="1">SUM(AY$7:AY161)</f>
        <v>0</v>
      </c>
      <c r="BL162" s="24">
        <f t="shared" ca="1" si="123"/>
        <v>0</v>
      </c>
      <c r="BN162" s="24">
        <f ca="1">SUM(AB$7:AB162)</f>
        <v>0</v>
      </c>
      <c r="BO162" s="46">
        <f ca="1">SUM(AC$7:AC161)</f>
        <v>0</v>
      </c>
      <c r="BP162" s="24">
        <f t="shared" ca="1" si="124"/>
        <v>0</v>
      </c>
      <c r="BR162" s="24">
        <f ca="1">SUM(AH$7:AH162)</f>
        <v>0</v>
      </c>
      <c r="BS162" s="46">
        <f ca="1">SUM(AI$7:AI161)</f>
        <v>0</v>
      </c>
      <c r="BT162" s="24">
        <f t="shared" ca="1" si="125"/>
        <v>0</v>
      </c>
    </row>
    <row r="163" spans="1:72" s="12" customFormat="1">
      <c r="A163" s="202">
        <f>Kontenplan!C165</f>
        <v>0</v>
      </c>
      <c r="B163" s="224">
        <f>Kontenplan!E165</f>
        <v>0</v>
      </c>
      <c r="C163" s="225">
        <f>Kontenplan!F165</f>
        <v>0</v>
      </c>
      <c r="D163" s="43">
        <f>IF(B163=0,0,SUMIF(Journal!$F$7:$F$83,Calc!B163,Journal!$I$7:$I$83))</f>
        <v>0</v>
      </c>
      <c r="E163" s="15">
        <f>IF(B163=0,0,SUMIF(Journal!$G$7:$M237,Calc!B163,Journal!$I$7:$I$83))</f>
        <v>0</v>
      </c>
      <c r="F163" s="44">
        <f t="shared" si="89"/>
        <v>0</v>
      </c>
      <c r="G163" s="15">
        <f t="shared" si="90"/>
        <v>0</v>
      </c>
      <c r="H163" s="14" t="str">
        <f t="shared" si="91"/>
        <v xml:space="preserve"> </v>
      </c>
      <c r="I163" s="43" t="str">
        <f t="shared" si="92"/>
        <v xml:space="preserve"> </v>
      </c>
      <c r="J163" s="45" t="str">
        <f t="shared" si="93"/>
        <v xml:space="preserve"> </v>
      </c>
      <c r="K163" s="48" t="str">
        <f t="shared" si="94"/>
        <v xml:space="preserve"> </v>
      </c>
      <c r="L163" s="45" t="str">
        <f t="shared" si="95"/>
        <v xml:space="preserve"> </v>
      </c>
      <c r="M163" s="48" t="str">
        <f t="shared" si="96"/>
        <v xml:space="preserve"> </v>
      </c>
      <c r="N163" s="24"/>
      <c r="O163" s="12">
        <f t="shared" si="97"/>
        <v>10.029399999999931</v>
      </c>
      <c r="P163" s="12">
        <f t="shared" si="98"/>
        <v>9.0275999999999357</v>
      </c>
      <c r="Q163" s="12">
        <f t="shared" si="99"/>
        <v>31.02139999999995</v>
      </c>
      <c r="R163" s="12">
        <f t="shared" si="100"/>
        <v>29.015599999999964</v>
      </c>
      <c r="S163" s="12">
        <f t="shared" si="101"/>
        <v>0</v>
      </c>
      <c r="T163" s="12">
        <f t="shared" si="102"/>
        <v>0</v>
      </c>
      <c r="U163" s="43">
        <f>IF(OR(A163=Kontenplan!$C$3,A163=Kontenplan!$C$5),F163-G163,G163-F163)</f>
        <v>0</v>
      </c>
      <c r="V163" s="171">
        <f t="shared" si="85"/>
        <v>157</v>
      </c>
      <c r="W163" s="12">
        <f t="shared" si="86"/>
        <v>130</v>
      </c>
      <c r="X163" s="12">
        <f t="shared" si="87"/>
        <v>132</v>
      </c>
      <c r="Y163" s="12">
        <f>IF(Z163=0,VLOOKUP(W163,Kontenplan!$Y$9:$AA$551,3),"")</f>
        <v>0</v>
      </c>
      <c r="Z163" s="12">
        <f t="shared" si="103"/>
        <v>0</v>
      </c>
      <c r="AA163" s="12" t="str">
        <f t="shared" ca="1" si="104"/>
        <v/>
      </c>
      <c r="AB163" s="46" t="str">
        <f t="shared" ca="1" si="105"/>
        <v/>
      </c>
      <c r="AC163" s="46" t="str">
        <f t="shared" ca="1" si="106"/>
        <v/>
      </c>
      <c r="AD163" s="47"/>
      <c r="AE163" s="12">
        <f>IF(AF163=0,VLOOKUP(X163,Kontenplan!$Z$9:$AB$551,3),"")</f>
        <v>0</v>
      </c>
      <c r="AF163" s="47">
        <f t="shared" si="107"/>
        <v>0</v>
      </c>
      <c r="AG163" s="12" t="str">
        <f t="shared" ca="1" si="108"/>
        <v/>
      </c>
      <c r="AH163" s="46" t="str">
        <f t="shared" ca="1" si="109"/>
        <v/>
      </c>
      <c r="AI163" s="46" t="str">
        <f t="shared" ca="1" si="110"/>
        <v/>
      </c>
      <c r="AJ163" s="46"/>
      <c r="AK163" s="147">
        <f t="shared" ca="1" si="111"/>
        <v>2.014700000000031</v>
      </c>
      <c r="AL163" s="147">
        <f t="shared" si="112"/>
        <v>2.0150000000000317</v>
      </c>
      <c r="AM163" s="12" t="str">
        <f>IF(V163&lt;=AO$3,VLOOKUP(V163,Kontenplan!$A$9:$D$278,4),"")</f>
        <v/>
      </c>
      <c r="AN163" s="12">
        <f t="shared" si="113"/>
        <v>0</v>
      </c>
      <c r="AO163" s="12" t="str">
        <f t="shared" ca="1" si="114"/>
        <v/>
      </c>
      <c r="AP163" s="46" t="str">
        <f t="shared" ca="1" si="115"/>
        <v/>
      </c>
      <c r="AQ163" s="46" t="str">
        <f t="shared" ca="1" si="116"/>
        <v/>
      </c>
      <c r="AR163" s="46"/>
      <c r="AS163" s="147">
        <f t="shared" ca="1" si="117"/>
        <v>3.0146000000000308</v>
      </c>
      <c r="AT163" s="147">
        <f t="shared" si="118"/>
        <v>2.0151000000000319</v>
      </c>
      <c r="AU163" s="47" t="str">
        <f>IF(V163&lt;=AW$3,VLOOKUP(AO$3+V163,Kontenplan!$A$9:$D$278,4),"")</f>
        <v/>
      </c>
      <c r="AV163" s="12">
        <f t="shared" si="119"/>
        <v>0</v>
      </c>
      <c r="AW163" s="12" t="str">
        <f t="shared" ca="1" si="120"/>
        <v/>
      </c>
      <c r="AX163" s="46" t="str">
        <f t="shared" ca="1" si="88"/>
        <v/>
      </c>
      <c r="AY163" s="46" t="str">
        <f t="shared" ca="1" si="121"/>
        <v/>
      </c>
      <c r="BA163" s="12">
        <f>Kontenplan!R165</f>
        <v>3</v>
      </c>
      <c r="BB163" s="12">
        <f>Kontenplan!S165</f>
        <v>2</v>
      </c>
      <c r="BC163" s="12">
        <f>Kontenplan!T165</f>
        <v>4</v>
      </c>
      <c r="BD163" s="170">
        <f>Kontenplan!U165</f>
        <v>4</v>
      </c>
      <c r="BF163" s="24">
        <f ca="1">SUM(AP$7:AP163)</f>
        <v>0</v>
      </c>
      <c r="BG163" s="46">
        <f ca="1">SUM(AQ$7:AQ162)</f>
        <v>0</v>
      </c>
      <c r="BH163" s="24">
        <f t="shared" ca="1" si="122"/>
        <v>0</v>
      </c>
      <c r="BI163" s="24"/>
      <c r="BJ163" s="24">
        <f ca="1">SUM(AX$7:AX163)</f>
        <v>0</v>
      </c>
      <c r="BK163" s="24">
        <f ca="1">SUM(AY$7:AY162)</f>
        <v>0</v>
      </c>
      <c r="BL163" s="24">
        <f t="shared" ca="1" si="123"/>
        <v>0</v>
      </c>
      <c r="BN163" s="24">
        <f ca="1">SUM(AB$7:AB163)</f>
        <v>0</v>
      </c>
      <c r="BO163" s="46">
        <f ca="1">SUM(AC$7:AC162)</f>
        <v>0</v>
      </c>
      <c r="BP163" s="24">
        <f t="shared" ca="1" si="124"/>
        <v>0</v>
      </c>
      <c r="BR163" s="24">
        <f ca="1">SUM(AH$7:AH163)</f>
        <v>0</v>
      </c>
      <c r="BS163" s="46">
        <f ca="1">SUM(AI$7:AI162)</f>
        <v>0</v>
      </c>
      <c r="BT163" s="24">
        <f t="shared" ca="1" si="125"/>
        <v>0</v>
      </c>
    </row>
    <row r="164" spans="1:72" s="12" customFormat="1">
      <c r="A164" s="202">
        <f>Kontenplan!C166</f>
        <v>0</v>
      </c>
      <c r="B164" s="224">
        <f>Kontenplan!E166</f>
        <v>0</v>
      </c>
      <c r="C164" s="225">
        <f>Kontenplan!F166</f>
        <v>0</v>
      </c>
      <c r="D164" s="43">
        <f>IF(B164=0,0,SUMIF(Journal!$F$7:$F$83,Calc!B164,Journal!$I$7:$I$83))</f>
        <v>0</v>
      </c>
      <c r="E164" s="15">
        <f>IF(B164=0,0,SUMIF(Journal!$G$7:$M238,Calc!B164,Journal!$I$7:$I$83))</f>
        <v>0</v>
      </c>
      <c r="F164" s="44">
        <f t="shared" si="89"/>
        <v>0</v>
      </c>
      <c r="G164" s="15">
        <f t="shared" si="90"/>
        <v>0</v>
      </c>
      <c r="H164" s="14" t="str">
        <f t="shared" si="91"/>
        <v xml:space="preserve"> </v>
      </c>
      <c r="I164" s="43" t="str">
        <f t="shared" si="92"/>
        <v xml:space="preserve"> </v>
      </c>
      <c r="J164" s="45" t="str">
        <f t="shared" si="93"/>
        <v xml:space="preserve"> </v>
      </c>
      <c r="K164" s="48" t="str">
        <f t="shared" si="94"/>
        <v xml:space="preserve"> </v>
      </c>
      <c r="L164" s="45" t="str">
        <f t="shared" si="95"/>
        <v xml:space="preserve"> </v>
      </c>
      <c r="M164" s="48" t="str">
        <f t="shared" si="96"/>
        <v xml:space="preserve"> </v>
      </c>
      <c r="N164" s="24"/>
      <c r="O164" s="12">
        <f t="shared" si="97"/>
        <v>10.029599999999931</v>
      </c>
      <c r="P164" s="12">
        <f t="shared" si="98"/>
        <v>9.0277999999999352</v>
      </c>
      <c r="Q164" s="12">
        <f t="shared" si="99"/>
        <v>31.02159999999995</v>
      </c>
      <c r="R164" s="12">
        <f t="shared" si="100"/>
        <v>29.015799999999963</v>
      </c>
      <c r="S164" s="12">
        <f t="shared" si="101"/>
        <v>0</v>
      </c>
      <c r="T164" s="12">
        <f t="shared" si="102"/>
        <v>0</v>
      </c>
      <c r="U164" s="43">
        <f>IF(OR(A164=Kontenplan!$C$3,A164=Kontenplan!$C$5),F164-G164,G164-F164)</f>
        <v>0</v>
      </c>
      <c r="V164" s="171">
        <f t="shared" si="85"/>
        <v>158</v>
      </c>
      <c r="W164" s="12">
        <f t="shared" si="86"/>
        <v>131</v>
      </c>
      <c r="X164" s="12">
        <f t="shared" si="87"/>
        <v>133</v>
      </c>
      <c r="Y164" s="12">
        <f>IF(Z164=0,VLOOKUP(W164,Kontenplan!$Y$9:$AA$551,3),"")</f>
        <v>0</v>
      </c>
      <c r="Z164" s="12">
        <f t="shared" si="103"/>
        <v>0</v>
      </c>
      <c r="AA164" s="12" t="str">
        <f t="shared" ca="1" si="104"/>
        <v/>
      </c>
      <c r="AB164" s="46" t="str">
        <f t="shared" ca="1" si="105"/>
        <v/>
      </c>
      <c r="AC164" s="46" t="str">
        <f t="shared" ca="1" si="106"/>
        <v/>
      </c>
      <c r="AD164" s="47"/>
      <c r="AE164" s="12">
        <f>IF(AF164=0,VLOOKUP(X164,Kontenplan!$Z$9:$AB$551,3),"")</f>
        <v>0</v>
      </c>
      <c r="AF164" s="47">
        <f t="shared" si="107"/>
        <v>0</v>
      </c>
      <c r="AG164" s="12" t="str">
        <f t="shared" ca="1" si="108"/>
        <v/>
      </c>
      <c r="AH164" s="46" t="str">
        <f t="shared" ca="1" si="109"/>
        <v/>
      </c>
      <c r="AI164" s="46" t="str">
        <f t="shared" ca="1" si="110"/>
        <v/>
      </c>
      <c r="AJ164" s="46"/>
      <c r="AK164" s="147">
        <f t="shared" ca="1" si="111"/>
        <v>2.0148000000000312</v>
      </c>
      <c r="AL164" s="147">
        <f t="shared" si="112"/>
        <v>2.0151000000000319</v>
      </c>
      <c r="AM164" s="12" t="str">
        <f>IF(V164&lt;=AO$3,VLOOKUP(V164,Kontenplan!$A$9:$D$278,4),"")</f>
        <v/>
      </c>
      <c r="AN164" s="12">
        <f t="shared" si="113"/>
        <v>0</v>
      </c>
      <c r="AO164" s="12" t="str">
        <f t="shared" ca="1" si="114"/>
        <v/>
      </c>
      <c r="AP164" s="46" t="str">
        <f t="shared" ca="1" si="115"/>
        <v/>
      </c>
      <c r="AQ164" s="46" t="str">
        <f t="shared" ca="1" si="116"/>
        <v/>
      </c>
      <c r="AR164" s="46"/>
      <c r="AS164" s="147">
        <f t="shared" ca="1" si="117"/>
        <v>3.014700000000031</v>
      </c>
      <c r="AT164" s="147">
        <f t="shared" si="118"/>
        <v>2.0152000000000321</v>
      </c>
      <c r="AU164" s="47" t="str">
        <f>IF(V164&lt;=AW$3,VLOOKUP(AO$3+V164,Kontenplan!$A$9:$D$278,4),"")</f>
        <v/>
      </c>
      <c r="AV164" s="12">
        <f t="shared" si="119"/>
        <v>0</v>
      </c>
      <c r="AW164" s="12" t="str">
        <f t="shared" ca="1" si="120"/>
        <v/>
      </c>
      <c r="AX164" s="46" t="str">
        <f t="shared" ca="1" si="88"/>
        <v/>
      </c>
      <c r="AY164" s="46" t="str">
        <f t="shared" ca="1" si="121"/>
        <v/>
      </c>
      <c r="BA164" s="12">
        <f>Kontenplan!R166</f>
        <v>3</v>
      </c>
      <c r="BB164" s="12">
        <f>Kontenplan!S166</f>
        <v>2</v>
      </c>
      <c r="BC164" s="12">
        <f>Kontenplan!T166</f>
        <v>4</v>
      </c>
      <c r="BD164" s="170">
        <f>Kontenplan!U166</f>
        <v>4</v>
      </c>
      <c r="BF164" s="24">
        <f ca="1">SUM(AP$7:AP164)</f>
        <v>0</v>
      </c>
      <c r="BG164" s="46">
        <f ca="1">SUM(AQ$7:AQ163)</f>
        <v>0</v>
      </c>
      <c r="BH164" s="24">
        <f t="shared" ca="1" si="122"/>
        <v>0</v>
      </c>
      <c r="BI164" s="24"/>
      <c r="BJ164" s="24">
        <f ca="1">SUM(AX$7:AX164)</f>
        <v>0</v>
      </c>
      <c r="BK164" s="24">
        <f ca="1">SUM(AY$7:AY163)</f>
        <v>0</v>
      </c>
      <c r="BL164" s="24">
        <f t="shared" ca="1" si="123"/>
        <v>0</v>
      </c>
      <c r="BN164" s="24">
        <f ca="1">SUM(AB$7:AB164)</f>
        <v>0</v>
      </c>
      <c r="BO164" s="46">
        <f ca="1">SUM(AC$7:AC163)</f>
        <v>0</v>
      </c>
      <c r="BP164" s="24">
        <f t="shared" ca="1" si="124"/>
        <v>0</v>
      </c>
      <c r="BR164" s="24">
        <f ca="1">SUM(AH$7:AH164)</f>
        <v>0</v>
      </c>
      <c r="BS164" s="46">
        <f ca="1">SUM(AI$7:AI163)</f>
        <v>0</v>
      </c>
      <c r="BT164" s="24">
        <f t="shared" ca="1" si="125"/>
        <v>0</v>
      </c>
    </row>
    <row r="165" spans="1:72" s="12" customFormat="1">
      <c r="A165" s="202">
        <f>Kontenplan!C167</f>
        <v>0</v>
      </c>
      <c r="B165" s="224">
        <f>Kontenplan!E167</f>
        <v>0</v>
      </c>
      <c r="C165" s="225">
        <f>Kontenplan!F167</f>
        <v>0</v>
      </c>
      <c r="D165" s="43">
        <f>IF(B165=0,0,SUMIF(Journal!$F$7:$F$83,Calc!B165,Journal!$I$7:$I$83))</f>
        <v>0</v>
      </c>
      <c r="E165" s="15">
        <f>IF(B165=0,0,SUMIF(Journal!$G$7:$M239,Calc!B165,Journal!$I$7:$I$83))</f>
        <v>0</v>
      </c>
      <c r="F165" s="44">
        <f t="shared" si="89"/>
        <v>0</v>
      </c>
      <c r="G165" s="15">
        <f t="shared" si="90"/>
        <v>0</v>
      </c>
      <c r="H165" s="14" t="str">
        <f t="shared" si="91"/>
        <v xml:space="preserve"> </v>
      </c>
      <c r="I165" s="43" t="str">
        <f t="shared" si="92"/>
        <v xml:space="preserve"> </v>
      </c>
      <c r="J165" s="45" t="str">
        <f t="shared" si="93"/>
        <v xml:space="preserve"> </v>
      </c>
      <c r="K165" s="48" t="str">
        <f t="shared" si="94"/>
        <v xml:space="preserve"> </v>
      </c>
      <c r="L165" s="45" t="str">
        <f t="shared" si="95"/>
        <v xml:space="preserve"> </v>
      </c>
      <c r="M165" s="48" t="str">
        <f t="shared" si="96"/>
        <v xml:space="preserve"> </v>
      </c>
      <c r="N165" s="24"/>
      <c r="O165" s="12">
        <f t="shared" si="97"/>
        <v>10.029799999999931</v>
      </c>
      <c r="P165" s="12">
        <f t="shared" si="98"/>
        <v>9.0279999999999347</v>
      </c>
      <c r="Q165" s="12">
        <f t="shared" si="99"/>
        <v>31.021799999999949</v>
      </c>
      <c r="R165" s="12">
        <f t="shared" si="100"/>
        <v>29.015999999999963</v>
      </c>
      <c r="S165" s="12">
        <f t="shared" si="101"/>
        <v>0</v>
      </c>
      <c r="T165" s="12">
        <f t="shared" si="102"/>
        <v>0</v>
      </c>
      <c r="U165" s="43">
        <f>IF(OR(A165=Kontenplan!$C$3,A165=Kontenplan!$C$5),F165-G165,G165-F165)</f>
        <v>0</v>
      </c>
      <c r="V165" s="171">
        <f t="shared" si="85"/>
        <v>159</v>
      </c>
      <c r="W165" s="12">
        <f t="shared" si="86"/>
        <v>132</v>
      </c>
      <c r="X165" s="12">
        <f t="shared" si="87"/>
        <v>134</v>
      </c>
      <c r="Y165" s="12">
        <f>IF(Z165=0,VLOOKUP(W165,Kontenplan!$Y$9:$AA$551,3),"")</f>
        <v>0</v>
      </c>
      <c r="Z165" s="12">
        <f t="shared" si="103"/>
        <v>0</v>
      </c>
      <c r="AA165" s="12" t="str">
        <f t="shared" ca="1" si="104"/>
        <v/>
      </c>
      <c r="AB165" s="46" t="str">
        <f t="shared" ca="1" si="105"/>
        <v/>
      </c>
      <c r="AC165" s="46" t="str">
        <f t="shared" ca="1" si="106"/>
        <v/>
      </c>
      <c r="AD165" s="47"/>
      <c r="AE165" s="12">
        <f>IF(AF165=0,VLOOKUP(X165,Kontenplan!$Z$9:$AB$551,3),"")</f>
        <v>0</v>
      </c>
      <c r="AF165" s="47">
        <f t="shared" si="107"/>
        <v>0</v>
      </c>
      <c r="AG165" s="12" t="str">
        <f t="shared" ca="1" si="108"/>
        <v/>
      </c>
      <c r="AH165" s="46" t="str">
        <f t="shared" ca="1" si="109"/>
        <v/>
      </c>
      <c r="AI165" s="46" t="str">
        <f t="shared" ca="1" si="110"/>
        <v/>
      </c>
      <c r="AJ165" s="46"/>
      <c r="AK165" s="147">
        <f t="shared" ca="1" si="111"/>
        <v>2.0149000000000314</v>
      </c>
      <c r="AL165" s="147">
        <f t="shared" si="112"/>
        <v>2.0152000000000321</v>
      </c>
      <c r="AM165" s="12" t="str">
        <f>IF(V165&lt;=AO$3,VLOOKUP(V165,Kontenplan!$A$9:$D$278,4),"")</f>
        <v/>
      </c>
      <c r="AN165" s="12">
        <f t="shared" si="113"/>
        <v>0</v>
      </c>
      <c r="AO165" s="12" t="str">
        <f t="shared" ca="1" si="114"/>
        <v/>
      </c>
      <c r="AP165" s="46" t="str">
        <f t="shared" ca="1" si="115"/>
        <v/>
      </c>
      <c r="AQ165" s="46" t="str">
        <f t="shared" ca="1" si="116"/>
        <v/>
      </c>
      <c r="AR165" s="46"/>
      <c r="AS165" s="147">
        <f t="shared" ca="1" si="117"/>
        <v>3.0148000000000312</v>
      </c>
      <c r="AT165" s="147">
        <f t="shared" si="118"/>
        <v>2.0153000000000323</v>
      </c>
      <c r="AU165" s="47" t="str">
        <f>IF(V165&lt;=AW$3,VLOOKUP(AO$3+V165,Kontenplan!$A$9:$D$278,4),"")</f>
        <v/>
      </c>
      <c r="AV165" s="12">
        <f t="shared" si="119"/>
        <v>0</v>
      </c>
      <c r="AW165" s="12" t="str">
        <f t="shared" ca="1" si="120"/>
        <v/>
      </c>
      <c r="AX165" s="46" t="str">
        <f t="shared" ca="1" si="88"/>
        <v/>
      </c>
      <c r="AY165" s="46" t="str">
        <f t="shared" ca="1" si="121"/>
        <v/>
      </c>
      <c r="BA165" s="12">
        <f>Kontenplan!R167</f>
        <v>3</v>
      </c>
      <c r="BB165" s="12">
        <f>Kontenplan!S167</f>
        <v>2</v>
      </c>
      <c r="BC165" s="12">
        <f>Kontenplan!T167</f>
        <v>4</v>
      </c>
      <c r="BD165" s="170">
        <f>Kontenplan!U167</f>
        <v>4</v>
      </c>
      <c r="BF165" s="24">
        <f ca="1">SUM(AP$7:AP165)</f>
        <v>0</v>
      </c>
      <c r="BG165" s="46">
        <f ca="1">SUM(AQ$7:AQ164)</f>
        <v>0</v>
      </c>
      <c r="BH165" s="24">
        <f t="shared" ca="1" si="122"/>
        <v>0</v>
      </c>
      <c r="BI165" s="24"/>
      <c r="BJ165" s="24">
        <f ca="1">SUM(AX$7:AX165)</f>
        <v>0</v>
      </c>
      <c r="BK165" s="24">
        <f ca="1">SUM(AY$7:AY164)</f>
        <v>0</v>
      </c>
      <c r="BL165" s="24">
        <f t="shared" ca="1" si="123"/>
        <v>0</v>
      </c>
      <c r="BN165" s="24">
        <f ca="1">SUM(AB$7:AB165)</f>
        <v>0</v>
      </c>
      <c r="BO165" s="46">
        <f ca="1">SUM(AC$7:AC164)</f>
        <v>0</v>
      </c>
      <c r="BP165" s="24">
        <f t="shared" ca="1" si="124"/>
        <v>0</v>
      </c>
      <c r="BR165" s="24">
        <f ca="1">SUM(AH$7:AH165)</f>
        <v>0</v>
      </c>
      <c r="BS165" s="46">
        <f ca="1">SUM(AI$7:AI164)</f>
        <v>0</v>
      </c>
      <c r="BT165" s="24">
        <f t="shared" ca="1" si="125"/>
        <v>0</v>
      </c>
    </row>
    <row r="166" spans="1:72" s="12" customFormat="1">
      <c r="A166" s="202">
        <f>Kontenplan!C168</f>
        <v>0</v>
      </c>
      <c r="B166" s="224">
        <f>Kontenplan!E168</f>
        <v>0</v>
      </c>
      <c r="C166" s="225">
        <f>Kontenplan!F168</f>
        <v>0</v>
      </c>
      <c r="D166" s="43">
        <f>IF(B166=0,0,SUMIF(Journal!$F$7:$F$83,Calc!B166,Journal!$I$7:$I$83))</f>
        <v>0</v>
      </c>
      <c r="E166" s="15">
        <f>IF(B166=0,0,SUMIF(Journal!$G$7:$M240,Calc!B166,Journal!$I$7:$I$83))</f>
        <v>0</v>
      </c>
      <c r="F166" s="44">
        <f t="shared" si="89"/>
        <v>0</v>
      </c>
      <c r="G166" s="15">
        <f t="shared" si="90"/>
        <v>0</v>
      </c>
      <c r="H166" s="14" t="str">
        <f t="shared" si="91"/>
        <v xml:space="preserve"> </v>
      </c>
      <c r="I166" s="43" t="str">
        <f t="shared" si="92"/>
        <v xml:space="preserve"> </v>
      </c>
      <c r="J166" s="45" t="str">
        <f t="shared" si="93"/>
        <v xml:space="preserve"> </v>
      </c>
      <c r="K166" s="48" t="str">
        <f t="shared" si="94"/>
        <v xml:space="preserve"> </v>
      </c>
      <c r="L166" s="45" t="str">
        <f t="shared" si="95"/>
        <v xml:space="preserve"> </v>
      </c>
      <c r="M166" s="48" t="str">
        <f t="shared" si="96"/>
        <v xml:space="preserve"> </v>
      </c>
      <c r="N166" s="24"/>
      <c r="O166" s="12">
        <f t="shared" si="97"/>
        <v>10.02999999999993</v>
      </c>
      <c r="P166" s="12">
        <f t="shared" si="98"/>
        <v>9.0281999999999343</v>
      </c>
      <c r="Q166" s="12">
        <f t="shared" si="99"/>
        <v>31.021999999999949</v>
      </c>
      <c r="R166" s="12">
        <f t="shared" si="100"/>
        <v>29.016199999999962</v>
      </c>
      <c r="S166" s="12">
        <f t="shared" si="101"/>
        <v>0</v>
      </c>
      <c r="T166" s="12">
        <f t="shared" si="102"/>
        <v>0</v>
      </c>
      <c r="U166" s="43">
        <f>IF(OR(A166=Kontenplan!$C$3,A166=Kontenplan!$C$5),F166-G166,G166-F166)</f>
        <v>0</v>
      </c>
      <c r="V166" s="171">
        <f t="shared" si="85"/>
        <v>160</v>
      </c>
      <c r="W166" s="12">
        <f t="shared" si="86"/>
        <v>133</v>
      </c>
      <c r="X166" s="12">
        <f t="shared" si="87"/>
        <v>135</v>
      </c>
      <c r="Y166" s="12">
        <f>IF(Z166=0,VLOOKUP(W166,Kontenplan!$Y$9:$AA$551,3),"")</f>
        <v>0</v>
      </c>
      <c r="Z166" s="12">
        <f t="shared" si="103"/>
        <v>0</v>
      </c>
      <c r="AA166" s="12" t="str">
        <f t="shared" ca="1" si="104"/>
        <v/>
      </c>
      <c r="AB166" s="46" t="str">
        <f t="shared" ca="1" si="105"/>
        <v/>
      </c>
      <c r="AC166" s="46" t="str">
        <f t="shared" ca="1" si="106"/>
        <v/>
      </c>
      <c r="AD166" s="47"/>
      <c r="AE166" s="12">
        <f>IF(AF166=0,VLOOKUP(X166,Kontenplan!$Z$9:$AB$551,3),"")</f>
        <v>0</v>
      </c>
      <c r="AF166" s="47">
        <f t="shared" si="107"/>
        <v>0</v>
      </c>
      <c r="AG166" s="12" t="str">
        <f t="shared" ca="1" si="108"/>
        <v/>
      </c>
      <c r="AH166" s="46" t="str">
        <f t="shared" ca="1" si="109"/>
        <v/>
      </c>
      <c r="AI166" s="46" t="str">
        <f t="shared" ca="1" si="110"/>
        <v/>
      </c>
      <c r="AJ166" s="46"/>
      <c r="AK166" s="147">
        <f t="shared" ca="1" si="111"/>
        <v>2.0150000000000317</v>
      </c>
      <c r="AL166" s="147">
        <f t="shared" si="112"/>
        <v>2.0153000000000323</v>
      </c>
      <c r="AM166" s="12" t="str">
        <f>IF(V166&lt;=AO$3,VLOOKUP(V166,Kontenplan!$A$9:$D$278,4),"")</f>
        <v/>
      </c>
      <c r="AN166" s="12">
        <f t="shared" si="113"/>
        <v>0</v>
      </c>
      <c r="AO166" s="12" t="str">
        <f t="shared" ca="1" si="114"/>
        <v/>
      </c>
      <c r="AP166" s="46" t="str">
        <f t="shared" ca="1" si="115"/>
        <v/>
      </c>
      <c r="AQ166" s="46" t="str">
        <f t="shared" ca="1" si="116"/>
        <v/>
      </c>
      <c r="AR166" s="46"/>
      <c r="AS166" s="147">
        <f t="shared" ca="1" si="117"/>
        <v>3.0149000000000314</v>
      </c>
      <c r="AT166" s="147">
        <f t="shared" si="118"/>
        <v>2.0154000000000325</v>
      </c>
      <c r="AU166" s="47" t="str">
        <f>IF(V166&lt;=AW$3,VLOOKUP(AO$3+V166,Kontenplan!$A$9:$D$278,4),"")</f>
        <v/>
      </c>
      <c r="AV166" s="12">
        <f t="shared" si="119"/>
        <v>0</v>
      </c>
      <c r="AW166" s="12" t="str">
        <f t="shared" ca="1" si="120"/>
        <v/>
      </c>
      <c r="AX166" s="46" t="str">
        <f t="shared" ca="1" si="88"/>
        <v/>
      </c>
      <c r="AY166" s="46" t="str">
        <f t="shared" ca="1" si="121"/>
        <v/>
      </c>
      <c r="BA166" s="12">
        <f>Kontenplan!R168</f>
        <v>3</v>
      </c>
      <c r="BB166" s="12">
        <f>Kontenplan!S168</f>
        <v>2</v>
      </c>
      <c r="BC166" s="12">
        <f>Kontenplan!T168</f>
        <v>4</v>
      </c>
      <c r="BD166" s="170">
        <f>Kontenplan!U168</f>
        <v>4</v>
      </c>
      <c r="BF166" s="24">
        <f ca="1">SUM(AP$7:AP166)</f>
        <v>0</v>
      </c>
      <c r="BG166" s="46">
        <f ca="1">SUM(AQ$7:AQ165)</f>
        <v>0</v>
      </c>
      <c r="BH166" s="24">
        <f t="shared" ca="1" si="122"/>
        <v>0</v>
      </c>
      <c r="BI166" s="24"/>
      <c r="BJ166" s="24">
        <f ca="1">SUM(AX$7:AX166)</f>
        <v>0</v>
      </c>
      <c r="BK166" s="24">
        <f ca="1">SUM(AY$7:AY165)</f>
        <v>0</v>
      </c>
      <c r="BL166" s="24">
        <f t="shared" ca="1" si="123"/>
        <v>0</v>
      </c>
      <c r="BN166" s="24">
        <f ca="1">SUM(AB$7:AB166)</f>
        <v>0</v>
      </c>
      <c r="BO166" s="46">
        <f ca="1">SUM(AC$7:AC165)</f>
        <v>0</v>
      </c>
      <c r="BP166" s="24">
        <f t="shared" ca="1" si="124"/>
        <v>0</v>
      </c>
      <c r="BR166" s="24">
        <f ca="1">SUM(AH$7:AH166)</f>
        <v>0</v>
      </c>
      <c r="BS166" s="46">
        <f ca="1">SUM(AI$7:AI165)</f>
        <v>0</v>
      </c>
      <c r="BT166" s="24">
        <f t="shared" ca="1" si="125"/>
        <v>0</v>
      </c>
    </row>
    <row r="167" spans="1:72" s="12" customFormat="1">
      <c r="A167" s="202">
        <f>Kontenplan!C169</f>
        <v>0</v>
      </c>
      <c r="B167" s="224">
        <f>Kontenplan!E169</f>
        <v>0</v>
      </c>
      <c r="C167" s="225">
        <f>Kontenplan!F169</f>
        <v>0</v>
      </c>
      <c r="D167" s="43">
        <f>IF(B167=0,0,SUMIF(Journal!$F$7:$F$83,Calc!B167,Journal!$I$7:$I$83))</f>
        <v>0</v>
      </c>
      <c r="E167" s="15">
        <f>IF(B167=0,0,SUMIF(Journal!$G$7:$M241,Calc!B167,Journal!$I$7:$I$83))</f>
        <v>0</v>
      </c>
      <c r="F167" s="44">
        <f t="shared" si="89"/>
        <v>0</v>
      </c>
      <c r="G167" s="15">
        <f t="shared" si="90"/>
        <v>0</v>
      </c>
      <c r="H167" s="14" t="str">
        <f t="shared" si="91"/>
        <v xml:space="preserve"> </v>
      </c>
      <c r="I167" s="43" t="str">
        <f t="shared" si="92"/>
        <v xml:space="preserve"> </v>
      </c>
      <c r="J167" s="45" t="str">
        <f t="shared" si="93"/>
        <v xml:space="preserve"> </v>
      </c>
      <c r="K167" s="48" t="str">
        <f t="shared" si="94"/>
        <v xml:space="preserve"> </v>
      </c>
      <c r="L167" s="45" t="str">
        <f t="shared" si="95"/>
        <v xml:space="preserve"> </v>
      </c>
      <c r="M167" s="48" t="str">
        <f t="shared" si="96"/>
        <v xml:space="preserve"> </v>
      </c>
      <c r="N167" s="24"/>
      <c r="O167" s="12">
        <f t="shared" si="97"/>
        <v>10.03019999999993</v>
      </c>
      <c r="P167" s="12">
        <f t="shared" si="98"/>
        <v>9.0283999999999338</v>
      </c>
      <c r="Q167" s="12">
        <f t="shared" si="99"/>
        <v>31.022199999999948</v>
      </c>
      <c r="R167" s="12">
        <f t="shared" si="100"/>
        <v>29.016399999999962</v>
      </c>
      <c r="S167" s="12">
        <f t="shared" si="101"/>
        <v>0</v>
      </c>
      <c r="T167" s="12">
        <f t="shared" si="102"/>
        <v>0</v>
      </c>
      <c r="U167" s="43">
        <f>IF(OR(A167=Kontenplan!$C$3,A167=Kontenplan!$C$5),F167-G167,G167-F167)</f>
        <v>0</v>
      </c>
      <c r="V167" s="171">
        <f t="shared" si="85"/>
        <v>161</v>
      </c>
      <c r="W167" s="12">
        <f t="shared" si="86"/>
        <v>134</v>
      </c>
      <c r="X167" s="12">
        <f t="shared" si="87"/>
        <v>136</v>
      </c>
      <c r="Y167" s="12">
        <f>IF(Z167=0,VLOOKUP(W167,Kontenplan!$Y$9:$AA$551,3),"")</f>
        <v>0</v>
      </c>
      <c r="Z167" s="12">
        <f t="shared" si="103"/>
        <v>0</v>
      </c>
      <c r="AA167" s="12" t="str">
        <f t="shared" ca="1" si="104"/>
        <v/>
      </c>
      <c r="AB167" s="46" t="str">
        <f t="shared" ca="1" si="105"/>
        <v/>
      </c>
      <c r="AC167" s="46" t="str">
        <f t="shared" ca="1" si="106"/>
        <v/>
      </c>
      <c r="AD167" s="47"/>
      <c r="AE167" s="12">
        <f>IF(AF167=0,VLOOKUP(X167,Kontenplan!$Z$9:$AB$551,3),"")</f>
        <v>0</v>
      </c>
      <c r="AF167" s="47">
        <f t="shared" si="107"/>
        <v>0</v>
      </c>
      <c r="AG167" s="12" t="str">
        <f t="shared" ca="1" si="108"/>
        <v/>
      </c>
      <c r="AH167" s="46" t="str">
        <f t="shared" ca="1" si="109"/>
        <v/>
      </c>
      <c r="AI167" s="46" t="str">
        <f t="shared" ca="1" si="110"/>
        <v/>
      </c>
      <c r="AJ167" s="46"/>
      <c r="AK167" s="147">
        <f t="shared" ca="1" si="111"/>
        <v>2.0151000000000319</v>
      </c>
      <c r="AL167" s="147">
        <f t="shared" si="112"/>
        <v>2.0154000000000325</v>
      </c>
      <c r="AM167" s="12" t="str">
        <f>IF(V167&lt;=AO$3,VLOOKUP(V167,Kontenplan!$A$9:$D$278,4),"")</f>
        <v/>
      </c>
      <c r="AN167" s="12">
        <f t="shared" si="113"/>
        <v>0</v>
      </c>
      <c r="AO167" s="12" t="str">
        <f t="shared" ca="1" si="114"/>
        <v/>
      </c>
      <c r="AP167" s="46" t="str">
        <f t="shared" ca="1" si="115"/>
        <v/>
      </c>
      <c r="AQ167" s="46" t="str">
        <f t="shared" ca="1" si="116"/>
        <v/>
      </c>
      <c r="AR167" s="46"/>
      <c r="AS167" s="147">
        <f t="shared" ca="1" si="117"/>
        <v>3.0150000000000317</v>
      </c>
      <c r="AT167" s="147">
        <f t="shared" si="118"/>
        <v>2.0155000000000327</v>
      </c>
      <c r="AU167" s="47" t="str">
        <f>IF(V167&lt;=AW$3,VLOOKUP(AO$3+V167,Kontenplan!$A$9:$D$278,4),"")</f>
        <v/>
      </c>
      <c r="AV167" s="12">
        <f t="shared" si="119"/>
        <v>0</v>
      </c>
      <c r="AW167" s="12" t="str">
        <f t="shared" ca="1" si="120"/>
        <v/>
      </c>
      <c r="AX167" s="46" t="str">
        <f t="shared" ca="1" si="88"/>
        <v/>
      </c>
      <c r="AY167" s="46" t="str">
        <f t="shared" ca="1" si="121"/>
        <v/>
      </c>
      <c r="BA167" s="12">
        <f>Kontenplan!R169</f>
        <v>3</v>
      </c>
      <c r="BB167" s="12">
        <f>Kontenplan!S169</f>
        <v>2</v>
      </c>
      <c r="BC167" s="12">
        <f>Kontenplan!T169</f>
        <v>4</v>
      </c>
      <c r="BD167" s="170">
        <f>Kontenplan!U169</f>
        <v>4</v>
      </c>
      <c r="BF167" s="24">
        <f ca="1">SUM(AP$7:AP167)</f>
        <v>0</v>
      </c>
      <c r="BG167" s="46">
        <f ca="1">SUM(AQ$7:AQ166)</f>
        <v>0</v>
      </c>
      <c r="BH167" s="24">
        <f t="shared" ca="1" si="122"/>
        <v>0</v>
      </c>
      <c r="BI167" s="24"/>
      <c r="BJ167" s="24">
        <f ca="1">SUM(AX$7:AX167)</f>
        <v>0</v>
      </c>
      <c r="BK167" s="24">
        <f ca="1">SUM(AY$7:AY166)</f>
        <v>0</v>
      </c>
      <c r="BL167" s="24">
        <f t="shared" ca="1" si="123"/>
        <v>0</v>
      </c>
      <c r="BN167" s="24">
        <f ca="1">SUM(AB$7:AB167)</f>
        <v>0</v>
      </c>
      <c r="BO167" s="46">
        <f ca="1">SUM(AC$7:AC166)</f>
        <v>0</v>
      </c>
      <c r="BP167" s="24">
        <f t="shared" ca="1" si="124"/>
        <v>0</v>
      </c>
      <c r="BR167" s="24">
        <f ca="1">SUM(AH$7:AH167)</f>
        <v>0</v>
      </c>
      <c r="BS167" s="46">
        <f ca="1">SUM(AI$7:AI166)</f>
        <v>0</v>
      </c>
      <c r="BT167" s="24">
        <f t="shared" ca="1" si="125"/>
        <v>0</v>
      </c>
    </row>
    <row r="168" spans="1:72" s="12" customFormat="1">
      <c r="A168" s="202">
        <f>Kontenplan!C170</f>
        <v>0</v>
      </c>
      <c r="B168" s="224">
        <f>Kontenplan!E170</f>
        <v>0</v>
      </c>
      <c r="C168" s="225">
        <f>Kontenplan!F170</f>
        <v>0</v>
      </c>
      <c r="D168" s="43">
        <f>IF(B168=0,0,SUMIF(Journal!$F$7:$F$83,Calc!B168,Journal!$I$7:$I$83))</f>
        <v>0</v>
      </c>
      <c r="E168" s="15">
        <f>IF(B168=0,0,SUMIF(Journal!$G$7:$M242,Calc!B168,Journal!$I$7:$I$83))</f>
        <v>0</v>
      </c>
      <c r="F168" s="44">
        <f t="shared" si="89"/>
        <v>0</v>
      </c>
      <c r="G168" s="15">
        <f t="shared" si="90"/>
        <v>0</v>
      </c>
      <c r="H168" s="14" t="str">
        <f t="shared" si="91"/>
        <v xml:space="preserve"> </v>
      </c>
      <c r="I168" s="43" t="str">
        <f t="shared" si="92"/>
        <v xml:space="preserve"> </v>
      </c>
      <c r="J168" s="45" t="str">
        <f t="shared" si="93"/>
        <v xml:space="preserve"> </v>
      </c>
      <c r="K168" s="48" t="str">
        <f t="shared" si="94"/>
        <v xml:space="preserve"> </v>
      </c>
      <c r="L168" s="45" t="str">
        <f t="shared" si="95"/>
        <v xml:space="preserve"> </v>
      </c>
      <c r="M168" s="48" t="str">
        <f t="shared" si="96"/>
        <v xml:space="preserve"> </v>
      </c>
      <c r="N168" s="24"/>
      <c r="O168" s="12">
        <f t="shared" si="97"/>
        <v>10.030399999999929</v>
      </c>
      <c r="P168" s="12">
        <f t="shared" si="98"/>
        <v>9.0285999999999333</v>
      </c>
      <c r="Q168" s="12">
        <f t="shared" si="99"/>
        <v>31.022399999999948</v>
      </c>
      <c r="R168" s="12">
        <f t="shared" si="100"/>
        <v>29.016599999999961</v>
      </c>
      <c r="S168" s="12">
        <f t="shared" si="101"/>
        <v>0</v>
      </c>
      <c r="T168" s="12">
        <f t="shared" si="102"/>
        <v>0</v>
      </c>
      <c r="U168" s="43">
        <f>IF(OR(A168=Kontenplan!$C$3,A168=Kontenplan!$C$5),F168-G168,G168-F168)</f>
        <v>0</v>
      </c>
      <c r="V168" s="171">
        <f t="shared" si="85"/>
        <v>162</v>
      </c>
      <c r="W168" s="12">
        <f t="shared" si="86"/>
        <v>135</v>
      </c>
      <c r="X168" s="12">
        <f t="shared" si="87"/>
        <v>137</v>
      </c>
      <c r="Y168" s="12">
        <f>IF(Z168=0,VLOOKUP(W168,Kontenplan!$Y$9:$AA$551,3),"")</f>
        <v>0</v>
      </c>
      <c r="Z168" s="12">
        <f t="shared" si="103"/>
        <v>0</v>
      </c>
      <c r="AA168" s="12" t="str">
        <f t="shared" ca="1" si="104"/>
        <v/>
      </c>
      <c r="AB168" s="46" t="str">
        <f t="shared" ca="1" si="105"/>
        <v/>
      </c>
      <c r="AC168" s="46" t="str">
        <f t="shared" ca="1" si="106"/>
        <v/>
      </c>
      <c r="AD168" s="47"/>
      <c r="AE168" s="12">
        <f>IF(AF168=0,VLOOKUP(X168,Kontenplan!$Z$9:$AB$551,3),"")</f>
        <v>0</v>
      </c>
      <c r="AF168" s="47">
        <f t="shared" si="107"/>
        <v>0</v>
      </c>
      <c r="AG168" s="12" t="str">
        <f t="shared" ca="1" si="108"/>
        <v/>
      </c>
      <c r="AH168" s="46" t="str">
        <f t="shared" ca="1" si="109"/>
        <v/>
      </c>
      <c r="AI168" s="46" t="str">
        <f t="shared" ca="1" si="110"/>
        <v/>
      </c>
      <c r="AJ168" s="46"/>
      <c r="AK168" s="147">
        <f t="shared" ca="1" si="111"/>
        <v>2.0152000000000321</v>
      </c>
      <c r="AL168" s="147">
        <f t="shared" si="112"/>
        <v>2.0155000000000327</v>
      </c>
      <c r="AM168" s="12" t="str">
        <f>IF(V168&lt;=AO$3,VLOOKUP(V168,Kontenplan!$A$9:$D$278,4),"")</f>
        <v/>
      </c>
      <c r="AN168" s="12">
        <f t="shared" si="113"/>
        <v>0</v>
      </c>
      <c r="AO168" s="12" t="str">
        <f t="shared" ca="1" si="114"/>
        <v/>
      </c>
      <c r="AP168" s="46" t="str">
        <f t="shared" ca="1" si="115"/>
        <v/>
      </c>
      <c r="AQ168" s="46" t="str">
        <f t="shared" ca="1" si="116"/>
        <v/>
      </c>
      <c r="AR168" s="46"/>
      <c r="AS168" s="147">
        <f t="shared" ca="1" si="117"/>
        <v>3.0151000000000319</v>
      </c>
      <c r="AT168" s="147">
        <f t="shared" si="118"/>
        <v>2.0156000000000329</v>
      </c>
      <c r="AU168" s="47" t="str">
        <f>IF(V168&lt;=AW$3,VLOOKUP(AO$3+V168,Kontenplan!$A$9:$D$278,4),"")</f>
        <v/>
      </c>
      <c r="AV168" s="12">
        <f t="shared" si="119"/>
        <v>0</v>
      </c>
      <c r="AW168" s="12" t="str">
        <f t="shared" ca="1" si="120"/>
        <v/>
      </c>
      <c r="AX168" s="46" t="str">
        <f t="shared" ca="1" si="88"/>
        <v/>
      </c>
      <c r="AY168" s="46" t="str">
        <f t="shared" ca="1" si="121"/>
        <v/>
      </c>
      <c r="BA168" s="12">
        <f>Kontenplan!R170</f>
        <v>3</v>
      </c>
      <c r="BB168" s="12">
        <f>Kontenplan!S170</f>
        <v>2</v>
      </c>
      <c r="BC168" s="12">
        <f>Kontenplan!T170</f>
        <v>4</v>
      </c>
      <c r="BD168" s="170">
        <f>Kontenplan!U170</f>
        <v>4</v>
      </c>
      <c r="BF168" s="24">
        <f ca="1">SUM(AP$7:AP168)</f>
        <v>0</v>
      </c>
      <c r="BG168" s="46">
        <f ca="1">SUM(AQ$7:AQ167)</f>
        <v>0</v>
      </c>
      <c r="BH168" s="24">
        <f t="shared" ca="1" si="122"/>
        <v>0</v>
      </c>
      <c r="BI168" s="24"/>
      <c r="BJ168" s="24">
        <f ca="1">SUM(AX$7:AX168)</f>
        <v>0</v>
      </c>
      <c r="BK168" s="24">
        <f ca="1">SUM(AY$7:AY167)</f>
        <v>0</v>
      </c>
      <c r="BL168" s="24">
        <f t="shared" ca="1" si="123"/>
        <v>0</v>
      </c>
      <c r="BN168" s="24">
        <f ca="1">SUM(AB$7:AB168)</f>
        <v>0</v>
      </c>
      <c r="BO168" s="46">
        <f ca="1">SUM(AC$7:AC167)</f>
        <v>0</v>
      </c>
      <c r="BP168" s="24">
        <f t="shared" ca="1" si="124"/>
        <v>0</v>
      </c>
      <c r="BR168" s="24">
        <f ca="1">SUM(AH$7:AH168)</f>
        <v>0</v>
      </c>
      <c r="BS168" s="46">
        <f ca="1">SUM(AI$7:AI167)</f>
        <v>0</v>
      </c>
      <c r="BT168" s="24">
        <f t="shared" ca="1" si="125"/>
        <v>0</v>
      </c>
    </row>
    <row r="169" spans="1:72" s="12" customFormat="1">
      <c r="A169" s="202">
        <f>Kontenplan!C171</f>
        <v>0</v>
      </c>
      <c r="B169" s="224">
        <f>Kontenplan!E171</f>
        <v>0</v>
      </c>
      <c r="C169" s="225">
        <f>Kontenplan!F171</f>
        <v>0</v>
      </c>
      <c r="D169" s="43">
        <f>IF(B169=0,0,SUMIF(Journal!$F$7:$F$83,Calc!B169,Journal!$I$7:$I$83))</f>
        <v>0</v>
      </c>
      <c r="E169" s="15">
        <f>IF(B169=0,0,SUMIF(Journal!$G$7:$M243,Calc!B169,Journal!$I$7:$I$83))</f>
        <v>0</v>
      </c>
      <c r="F169" s="44">
        <f t="shared" si="89"/>
        <v>0</v>
      </c>
      <c r="G169" s="15">
        <f t="shared" si="90"/>
        <v>0</v>
      </c>
      <c r="H169" s="14" t="str">
        <f t="shared" si="91"/>
        <v xml:space="preserve"> </v>
      </c>
      <c r="I169" s="43" t="str">
        <f t="shared" si="92"/>
        <v xml:space="preserve"> </v>
      </c>
      <c r="J169" s="45" t="str">
        <f t="shared" si="93"/>
        <v xml:space="preserve"> </v>
      </c>
      <c r="K169" s="48" t="str">
        <f t="shared" si="94"/>
        <v xml:space="preserve"> </v>
      </c>
      <c r="L169" s="45" t="str">
        <f t="shared" si="95"/>
        <v xml:space="preserve"> </v>
      </c>
      <c r="M169" s="48" t="str">
        <f t="shared" si="96"/>
        <v xml:space="preserve"> </v>
      </c>
      <c r="N169" s="24"/>
      <c r="O169" s="12">
        <f t="shared" si="97"/>
        <v>10.030599999999929</v>
      </c>
      <c r="P169" s="12">
        <f t="shared" si="98"/>
        <v>9.0287999999999329</v>
      </c>
      <c r="Q169" s="12">
        <f t="shared" si="99"/>
        <v>31.022599999999947</v>
      </c>
      <c r="R169" s="12">
        <f t="shared" si="100"/>
        <v>29.016799999999961</v>
      </c>
      <c r="S169" s="12">
        <f t="shared" si="101"/>
        <v>0</v>
      </c>
      <c r="T169" s="12">
        <f t="shared" si="102"/>
        <v>0</v>
      </c>
      <c r="U169" s="43">
        <f>IF(OR(A169=Kontenplan!$C$3,A169=Kontenplan!$C$5),F169-G169,G169-F169)</f>
        <v>0</v>
      </c>
      <c r="V169" s="171">
        <f t="shared" si="85"/>
        <v>163</v>
      </c>
      <c r="W169" s="12">
        <f t="shared" si="86"/>
        <v>136</v>
      </c>
      <c r="X169" s="12">
        <f t="shared" si="87"/>
        <v>138</v>
      </c>
      <c r="Y169" s="12">
        <f>IF(Z169=0,VLOOKUP(W169,Kontenplan!$Y$9:$AA$551,3),"")</f>
        <v>0</v>
      </c>
      <c r="Z169" s="12">
        <f t="shared" si="103"/>
        <v>0</v>
      </c>
      <c r="AA169" s="12" t="str">
        <f t="shared" ca="1" si="104"/>
        <v/>
      </c>
      <c r="AB169" s="46" t="str">
        <f t="shared" ca="1" si="105"/>
        <v/>
      </c>
      <c r="AC169" s="46" t="str">
        <f t="shared" ca="1" si="106"/>
        <v/>
      </c>
      <c r="AD169" s="47"/>
      <c r="AE169" s="12">
        <f>IF(AF169=0,VLOOKUP(X169,Kontenplan!$Z$9:$AB$551,3),"")</f>
        <v>0</v>
      </c>
      <c r="AF169" s="47">
        <f t="shared" si="107"/>
        <v>0</v>
      </c>
      <c r="AG169" s="12" t="str">
        <f t="shared" ca="1" si="108"/>
        <v/>
      </c>
      <c r="AH169" s="46" t="str">
        <f t="shared" ca="1" si="109"/>
        <v/>
      </c>
      <c r="AI169" s="46" t="str">
        <f t="shared" ca="1" si="110"/>
        <v/>
      </c>
      <c r="AJ169" s="46"/>
      <c r="AK169" s="147">
        <f t="shared" ca="1" si="111"/>
        <v>2.0153000000000323</v>
      </c>
      <c r="AL169" s="147">
        <f t="shared" si="112"/>
        <v>2.0156000000000329</v>
      </c>
      <c r="AM169" s="12" t="str">
        <f>IF(V169&lt;=AO$3,VLOOKUP(V169,Kontenplan!$A$9:$D$278,4),"")</f>
        <v/>
      </c>
      <c r="AN169" s="12">
        <f t="shared" si="113"/>
        <v>0</v>
      </c>
      <c r="AO169" s="12" t="str">
        <f t="shared" ca="1" si="114"/>
        <v/>
      </c>
      <c r="AP169" s="46" t="str">
        <f t="shared" ca="1" si="115"/>
        <v/>
      </c>
      <c r="AQ169" s="46" t="str">
        <f t="shared" ca="1" si="116"/>
        <v/>
      </c>
      <c r="AR169" s="46"/>
      <c r="AS169" s="147">
        <f t="shared" ca="1" si="117"/>
        <v>3.0152000000000321</v>
      </c>
      <c r="AT169" s="147">
        <f t="shared" si="118"/>
        <v>2.0157000000000331</v>
      </c>
      <c r="AU169" s="47" t="str">
        <f>IF(V169&lt;=AW$3,VLOOKUP(AO$3+V169,Kontenplan!$A$9:$D$278,4),"")</f>
        <v/>
      </c>
      <c r="AV169" s="12">
        <f t="shared" si="119"/>
        <v>0</v>
      </c>
      <c r="AW169" s="12" t="str">
        <f t="shared" ca="1" si="120"/>
        <v/>
      </c>
      <c r="AX169" s="46" t="str">
        <f t="shared" ca="1" si="88"/>
        <v/>
      </c>
      <c r="AY169" s="46" t="str">
        <f t="shared" ca="1" si="121"/>
        <v/>
      </c>
      <c r="BA169" s="12">
        <f>Kontenplan!R171</f>
        <v>3</v>
      </c>
      <c r="BB169" s="12">
        <f>Kontenplan!S171</f>
        <v>2</v>
      </c>
      <c r="BC169" s="12">
        <f>Kontenplan!T171</f>
        <v>4</v>
      </c>
      <c r="BD169" s="170">
        <f>Kontenplan!U171</f>
        <v>4</v>
      </c>
      <c r="BF169" s="24">
        <f ca="1">SUM(AP$7:AP169)</f>
        <v>0</v>
      </c>
      <c r="BG169" s="46">
        <f ca="1">SUM(AQ$7:AQ168)</f>
        <v>0</v>
      </c>
      <c r="BH169" s="24">
        <f t="shared" ca="1" si="122"/>
        <v>0</v>
      </c>
      <c r="BI169" s="24"/>
      <c r="BJ169" s="24">
        <f ca="1">SUM(AX$7:AX169)</f>
        <v>0</v>
      </c>
      <c r="BK169" s="24">
        <f ca="1">SUM(AY$7:AY168)</f>
        <v>0</v>
      </c>
      <c r="BL169" s="24">
        <f t="shared" ca="1" si="123"/>
        <v>0</v>
      </c>
      <c r="BN169" s="24">
        <f ca="1">SUM(AB$7:AB169)</f>
        <v>0</v>
      </c>
      <c r="BO169" s="46">
        <f ca="1">SUM(AC$7:AC168)</f>
        <v>0</v>
      </c>
      <c r="BP169" s="24">
        <f t="shared" ca="1" si="124"/>
        <v>0</v>
      </c>
      <c r="BR169" s="24">
        <f ca="1">SUM(AH$7:AH169)</f>
        <v>0</v>
      </c>
      <c r="BS169" s="46">
        <f ca="1">SUM(AI$7:AI168)</f>
        <v>0</v>
      </c>
      <c r="BT169" s="24">
        <f t="shared" ca="1" si="125"/>
        <v>0</v>
      </c>
    </row>
    <row r="170" spans="1:72" s="12" customFormat="1">
      <c r="A170" s="202">
        <f>Kontenplan!C172</f>
        <v>0</v>
      </c>
      <c r="B170" s="224">
        <f>Kontenplan!E172</f>
        <v>0</v>
      </c>
      <c r="C170" s="225">
        <f>Kontenplan!F172</f>
        <v>0</v>
      </c>
      <c r="D170" s="43">
        <f>IF(B170=0,0,SUMIF(Journal!$F$7:$F$83,Calc!B170,Journal!$I$7:$I$83))</f>
        <v>0</v>
      </c>
      <c r="E170" s="15">
        <f>IF(B170=0,0,SUMIF(Journal!$G$7:$M244,Calc!B170,Journal!$I$7:$I$83))</f>
        <v>0</v>
      </c>
      <c r="F170" s="44">
        <f t="shared" si="89"/>
        <v>0</v>
      </c>
      <c r="G170" s="15">
        <f t="shared" si="90"/>
        <v>0</v>
      </c>
      <c r="H170" s="14" t="str">
        <f t="shared" si="91"/>
        <v xml:space="preserve"> </v>
      </c>
      <c r="I170" s="43" t="str">
        <f t="shared" si="92"/>
        <v xml:space="preserve"> </v>
      </c>
      <c r="J170" s="45" t="str">
        <f t="shared" si="93"/>
        <v xml:space="preserve"> </v>
      </c>
      <c r="K170" s="48" t="str">
        <f t="shared" si="94"/>
        <v xml:space="preserve"> </v>
      </c>
      <c r="L170" s="45" t="str">
        <f t="shared" si="95"/>
        <v xml:space="preserve"> </v>
      </c>
      <c r="M170" s="48" t="str">
        <f t="shared" si="96"/>
        <v xml:space="preserve"> </v>
      </c>
      <c r="N170" s="24"/>
      <c r="O170" s="12">
        <f t="shared" si="97"/>
        <v>10.030799999999928</v>
      </c>
      <c r="P170" s="12">
        <f t="shared" si="98"/>
        <v>9.0289999999999324</v>
      </c>
      <c r="Q170" s="12">
        <f t="shared" si="99"/>
        <v>31.022799999999947</v>
      </c>
      <c r="R170" s="12">
        <f t="shared" si="100"/>
        <v>29.01699999999996</v>
      </c>
      <c r="S170" s="12">
        <f t="shared" si="101"/>
        <v>0</v>
      </c>
      <c r="T170" s="12">
        <f t="shared" si="102"/>
        <v>0</v>
      </c>
      <c r="U170" s="43">
        <f>IF(OR(A170=Kontenplan!$C$3,A170=Kontenplan!$C$5),F170-G170,G170-F170)</f>
        <v>0</v>
      </c>
      <c r="V170" s="171">
        <f t="shared" si="85"/>
        <v>164</v>
      </c>
      <c r="W170" s="12">
        <f t="shared" si="86"/>
        <v>137</v>
      </c>
      <c r="X170" s="12">
        <f t="shared" si="87"/>
        <v>139</v>
      </c>
      <c r="Y170" s="12">
        <f>IF(Z170=0,VLOOKUP(W170,Kontenplan!$Y$9:$AA$551,3),"")</f>
        <v>0</v>
      </c>
      <c r="Z170" s="12">
        <f t="shared" si="103"/>
        <v>0</v>
      </c>
      <c r="AA170" s="12" t="str">
        <f t="shared" ca="1" si="104"/>
        <v/>
      </c>
      <c r="AB170" s="46" t="str">
        <f t="shared" ca="1" si="105"/>
        <v/>
      </c>
      <c r="AC170" s="46" t="str">
        <f t="shared" ca="1" si="106"/>
        <v/>
      </c>
      <c r="AD170" s="47"/>
      <c r="AE170" s="12">
        <f>IF(AF170=0,VLOOKUP(X170,Kontenplan!$Z$9:$AB$551,3),"")</f>
        <v>0</v>
      </c>
      <c r="AF170" s="47">
        <f t="shared" si="107"/>
        <v>0</v>
      </c>
      <c r="AG170" s="12" t="str">
        <f t="shared" ca="1" si="108"/>
        <v/>
      </c>
      <c r="AH170" s="46" t="str">
        <f t="shared" ca="1" si="109"/>
        <v/>
      </c>
      <c r="AI170" s="46" t="str">
        <f t="shared" ca="1" si="110"/>
        <v/>
      </c>
      <c r="AJ170" s="46"/>
      <c r="AK170" s="147">
        <f t="shared" ca="1" si="111"/>
        <v>2.0154000000000325</v>
      </c>
      <c r="AL170" s="147">
        <f t="shared" si="112"/>
        <v>2.0157000000000331</v>
      </c>
      <c r="AM170" s="12" t="str">
        <f>IF(V170&lt;=AO$3,VLOOKUP(V170,Kontenplan!$A$9:$D$278,4),"")</f>
        <v/>
      </c>
      <c r="AN170" s="12">
        <f t="shared" si="113"/>
        <v>0</v>
      </c>
      <c r="AO170" s="12" t="str">
        <f t="shared" ca="1" si="114"/>
        <v/>
      </c>
      <c r="AP170" s="46" t="str">
        <f t="shared" ca="1" si="115"/>
        <v/>
      </c>
      <c r="AQ170" s="46" t="str">
        <f t="shared" ca="1" si="116"/>
        <v/>
      </c>
      <c r="AR170" s="46"/>
      <c r="AS170" s="147">
        <f t="shared" ca="1" si="117"/>
        <v>3.0153000000000323</v>
      </c>
      <c r="AT170" s="147">
        <f t="shared" si="118"/>
        <v>2.0158000000000333</v>
      </c>
      <c r="AU170" s="47" t="str">
        <f>IF(V170&lt;=AW$3,VLOOKUP(AO$3+V170,Kontenplan!$A$9:$D$278,4),"")</f>
        <v/>
      </c>
      <c r="AV170" s="12">
        <f t="shared" si="119"/>
        <v>0</v>
      </c>
      <c r="AW170" s="12" t="str">
        <f t="shared" ca="1" si="120"/>
        <v/>
      </c>
      <c r="AX170" s="46" t="str">
        <f t="shared" ca="1" si="88"/>
        <v/>
      </c>
      <c r="AY170" s="46" t="str">
        <f t="shared" ca="1" si="121"/>
        <v/>
      </c>
      <c r="BA170" s="12">
        <f>Kontenplan!R172</f>
        <v>3</v>
      </c>
      <c r="BB170" s="12">
        <f>Kontenplan!S172</f>
        <v>2</v>
      </c>
      <c r="BC170" s="12">
        <f>Kontenplan!T172</f>
        <v>4</v>
      </c>
      <c r="BD170" s="170">
        <f>Kontenplan!U172</f>
        <v>4</v>
      </c>
      <c r="BF170" s="24">
        <f ca="1">SUM(AP$7:AP170)</f>
        <v>0</v>
      </c>
      <c r="BG170" s="46">
        <f ca="1">SUM(AQ$7:AQ169)</f>
        <v>0</v>
      </c>
      <c r="BH170" s="24">
        <f t="shared" ca="1" si="122"/>
        <v>0</v>
      </c>
      <c r="BI170" s="24"/>
      <c r="BJ170" s="24">
        <f ca="1">SUM(AX$7:AX170)</f>
        <v>0</v>
      </c>
      <c r="BK170" s="24">
        <f ca="1">SUM(AY$7:AY169)</f>
        <v>0</v>
      </c>
      <c r="BL170" s="24">
        <f t="shared" ca="1" si="123"/>
        <v>0</v>
      </c>
      <c r="BN170" s="24">
        <f ca="1">SUM(AB$7:AB170)</f>
        <v>0</v>
      </c>
      <c r="BO170" s="46">
        <f ca="1">SUM(AC$7:AC169)</f>
        <v>0</v>
      </c>
      <c r="BP170" s="24">
        <f t="shared" ca="1" si="124"/>
        <v>0</v>
      </c>
      <c r="BR170" s="24">
        <f ca="1">SUM(AH$7:AH170)</f>
        <v>0</v>
      </c>
      <c r="BS170" s="46">
        <f ca="1">SUM(AI$7:AI169)</f>
        <v>0</v>
      </c>
      <c r="BT170" s="24">
        <f t="shared" ca="1" si="125"/>
        <v>0</v>
      </c>
    </row>
    <row r="171" spans="1:72" s="12" customFormat="1">
      <c r="A171" s="202">
        <f>Kontenplan!C173</f>
        <v>0</v>
      </c>
      <c r="B171" s="224">
        <f>Kontenplan!E173</f>
        <v>0</v>
      </c>
      <c r="C171" s="225">
        <f>Kontenplan!F173</f>
        <v>0</v>
      </c>
      <c r="D171" s="43">
        <f>IF(B171=0,0,SUMIF(Journal!$F$7:$F$83,Calc!B171,Journal!$I$7:$I$83))</f>
        <v>0</v>
      </c>
      <c r="E171" s="15">
        <f>IF(B171=0,0,SUMIF(Journal!$G$7:$M245,Calc!B171,Journal!$I$7:$I$83))</f>
        <v>0</v>
      </c>
      <c r="F171" s="44">
        <f t="shared" si="89"/>
        <v>0</v>
      </c>
      <c r="G171" s="15">
        <f t="shared" si="90"/>
        <v>0</v>
      </c>
      <c r="H171" s="14" t="str">
        <f t="shared" si="91"/>
        <v xml:space="preserve"> </v>
      </c>
      <c r="I171" s="43" t="str">
        <f t="shared" si="92"/>
        <v xml:space="preserve"> </v>
      </c>
      <c r="J171" s="45" t="str">
        <f t="shared" si="93"/>
        <v xml:space="preserve"> </v>
      </c>
      <c r="K171" s="48" t="str">
        <f t="shared" si="94"/>
        <v xml:space="preserve"> </v>
      </c>
      <c r="L171" s="45" t="str">
        <f t="shared" si="95"/>
        <v xml:space="preserve"> </v>
      </c>
      <c r="M171" s="48" t="str">
        <f t="shared" si="96"/>
        <v xml:space="preserve"> </v>
      </c>
      <c r="N171" s="24"/>
      <c r="O171" s="12">
        <f t="shared" si="97"/>
        <v>10.030999999999928</v>
      </c>
      <c r="P171" s="12">
        <f t="shared" si="98"/>
        <v>9.0291999999999319</v>
      </c>
      <c r="Q171" s="12">
        <f t="shared" si="99"/>
        <v>31.022999999999946</v>
      </c>
      <c r="R171" s="12">
        <f t="shared" si="100"/>
        <v>29.01719999999996</v>
      </c>
      <c r="S171" s="12">
        <f t="shared" si="101"/>
        <v>0</v>
      </c>
      <c r="T171" s="12">
        <f t="shared" si="102"/>
        <v>0</v>
      </c>
      <c r="U171" s="43">
        <f>IF(OR(A171=Kontenplan!$C$3,A171=Kontenplan!$C$5),F171-G171,G171-F171)</f>
        <v>0</v>
      </c>
      <c r="V171" s="171">
        <f t="shared" si="85"/>
        <v>165</v>
      </c>
      <c r="W171" s="12">
        <f t="shared" si="86"/>
        <v>138</v>
      </c>
      <c r="X171" s="12">
        <f t="shared" si="87"/>
        <v>140</v>
      </c>
      <c r="Y171" s="12">
        <f>IF(Z171=0,VLOOKUP(W171,Kontenplan!$Y$9:$AA$551,3),"")</f>
        <v>0</v>
      </c>
      <c r="Z171" s="12">
        <f t="shared" si="103"/>
        <v>0</v>
      </c>
      <c r="AA171" s="12" t="str">
        <f t="shared" ca="1" si="104"/>
        <v/>
      </c>
      <c r="AB171" s="46" t="str">
        <f t="shared" ca="1" si="105"/>
        <v/>
      </c>
      <c r="AC171" s="46" t="str">
        <f t="shared" ca="1" si="106"/>
        <v/>
      </c>
      <c r="AD171" s="47"/>
      <c r="AE171" s="12">
        <f>IF(AF171=0,VLOOKUP(X171,Kontenplan!$Z$9:$AB$551,3),"")</f>
        <v>0</v>
      </c>
      <c r="AF171" s="47">
        <f t="shared" si="107"/>
        <v>0</v>
      </c>
      <c r="AG171" s="12" t="str">
        <f t="shared" ca="1" si="108"/>
        <v/>
      </c>
      <c r="AH171" s="46" t="str">
        <f t="shared" ca="1" si="109"/>
        <v/>
      </c>
      <c r="AI171" s="46" t="str">
        <f t="shared" ca="1" si="110"/>
        <v/>
      </c>
      <c r="AJ171" s="46"/>
      <c r="AK171" s="147">
        <f t="shared" ca="1" si="111"/>
        <v>2.0155000000000327</v>
      </c>
      <c r="AL171" s="147">
        <f t="shared" si="112"/>
        <v>2.0158000000000333</v>
      </c>
      <c r="AM171" s="12" t="str">
        <f>IF(V171&lt;=AO$3,VLOOKUP(V171,Kontenplan!$A$9:$D$278,4),"")</f>
        <v/>
      </c>
      <c r="AN171" s="12">
        <f t="shared" si="113"/>
        <v>0</v>
      </c>
      <c r="AO171" s="12" t="str">
        <f t="shared" ca="1" si="114"/>
        <v/>
      </c>
      <c r="AP171" s="46" t="str">
        <f t="shared" ca="1" si="115"/>
        <v/>
      </c>
      <c r="AQ171" s="46" t="str">
        <f t="shared" ca="1" si="116"/>
        <v/>
      </c>
      <c r="AR171" s="46"/>
      <c r="AS171" s="147">
        <f t="shared" ca="1" si="117"/>
        <v>3.0154000000000325</v>
      </c>
      <c r="AT171" s="147">
        <f t="shared" si="118"/>
        <v>2.0159000000000336</v>
      </c>
      <c r="AU171" s="47" t="str">
        <f>IF(V171&lt;=AW$3,VLOOKUP(AO$3+V171,Kontenplan!$A$9:$D$278,4),"")</f>
        <v/>
      </c>
      <c r="AV171" s="12">
        <f t="shared" si="119"/>
        <v>0</v>
      </c>
      <c r="AW171" s="12" t="str">
        <f t="shared" ca="1" si="120"/>
        <v/>
      </c>
      <c r="AX171" s="46" t="str">
        <f t="shared" ca="1" si="88"/>
        <v/>
      </c>
      <c r="AY171" s="46" t="str">
        <f t="shared" ca="1" si="121"/>
        <v/>
      </c>
      <c r="BA171" s="12">
        <f>Kontenplan!R173</f>
        <v>3</v>
      </c>
      <c r="BB171" s="12">
        <f>Kontenplan!S173</f>
        <v>2</v>
      </c>
      <c r="BC171" s="12">
        <f>Kontenplan!T173</f>
        <v>4</v>
      </c>
      <c r="BD171" s="170">
        <f>Kontenplan!U173</f>
        <v>4</v>
      </c>
      <c r="BF171" s="24">
        <f ca="1">SUM(AP$7:AP171)</f>
        <v>0</v>
      </c>
      <c r="BG171" s="46">
        <f ca="1">SUM(AQ$7:AQ170)</f>
        <v>0</v>
      </c>
      <c r="BH171" s="24">
        <f t="shared" ca="1" si="122"/>
        <v>0</v>
      </c>
      <c r="BI171" s="24"/>
      <c r="BJ171" s="24">
        <f ca="1">SUM(AX$7:AX171)</f>
        <v>0</v>
      </c>
      <c r="BK171" s="24">
        <f ca="1">SUM(AY$7:AY170)</f>
        <v>0</v>
      </c>
      <c r="BL171" s="24">
        <f t="shared" ca="1" si="123"/>
        <v>0</v>
      </c>
      <c r="BN171" s="24">
        <f ca="1">SUM(AB$7:AB171)</f>
        <v>0</v>
      </c>
      <c r="BO171" s="46">
        <f ca="1">SUM(AC$7:AC170)</f>
        <v>0</v>
      </c>
      <c r="BP171" s="24">
        <f t="shared" ca="1" si="124"/>
        <v>0</v>
      </c>
      <c r="BR171" s="24">
        <f ca="1">SUM(AH$7:AH171)</f>
        <v>0</v>
      </c>
      <c r="BS171" s="46">
        <f ca="1">SUM(AI$7:AI170)</f>
        <v>0</v>
      </c>
      <c r="BT171" s="24">
        <f t="shared" ca="1" si="125"/>
        <v>0</v>
      </c>
    </row>
    <row r="172" spans="1:72" s="12" customFormat="1">
      <c r="A172" s="202">
        <f>Kontenplan!C174</f>
        <v>0</v>
      </c>
      <c r="B172" s="224">
        <f>Kontenplan!E174</f>
        <v>0</v>
      </c>
      <c r="C172" s="225">
        <f>Kontenplan!F174</f>
        <v>0</v>
      </c>
      <c r="D172" s="43">
        <f>IF(B172=0,0,SUMIF(Journal!$F$7:$F$83,Calc!B172,Journal!$I$7:$I$83))</f>
        <v>0</v>
      </c>
      <c r="E172" s="15">
        <f>IF(B172=0,0,SUMIF(Journal!$G$7:$M246,Calc!B172,Journal!$I$7:$I$83))</f>
        <v>0</v>
      </c>
      <c r="F172" s="44">
        <f t="shared" si="89"/>
        <v>0</v>
      </c>
      <c r="G172" s="15">
        <f t="shared" si="90"/>
        <v>0</v>
      </c>
      <c r="H172" s="14" t="str">
        <f t="shared" si="91"/>
        <v xml:space="preserve"> </v>
      </c>
      <c r="I172" s="43" t="str">
        <f t="shared" si="92"/>
        <v xml:space="preserve"> </v>
      </c>
      <c r="J172" s="45" t="str">
        <f t="shared" si="93"/>
        <v xml:space="preserve"> </v>
      </c>
      <c r="K172" s="48" t="str">
        <f t="shared" si="94"/>
        <v xml:space="preserve"> </v>
      </c>
      <c r="L172" s="45" t="str">
        <f t="shared" si="95"/>
        <v xml:space="preserve"> </v>
      </c>
      <c r="M172" s="48" t="str">
        <f t="shared" si="96"/>
        <v xml:space="preserve"> </v>
      </c>
      <c r="N172" s="24"/>
      <c r="O172" s="12">
        <f t="shared" si="97"/>
        <v>10.031199999999927</v>
      </c>
      <c r="P172" s="12">
        <f t="shared" si="98"/>
        <v>9.0293999999999315</v>
      </c>
      <c r="Q172" s="12">
        <f t="shared" si="99"/>
        <v>31.023199999999946</v>
      </c>
      <c r="R172" s="12">
        <f t="shared" si="100"/>
        <v>29.017399999999959</v>
      </c>
      <c r="S172" s="12">
        <f t="shared" si="101"/>
        <v>0</v>
      </c>
      <c r="T172" s="12">
        <f t="shared" si="102"/>
        <v>0</v>
      </c>
      <c r="U172" s="43">
        <f>IF(OR(A172=Kontenplan!$C$3,A172=Kontenplan!$C$5),F172-G172,G172-F172)</f>
        <v>0</v>
      </c>
      <c r="V172" s="171">
        <f t="shared" si="85"/>
        <v>166</v>
      </c>
      <c r="W172" s="12">
        <f t="shared" si="86"/>
        <v>139</v>
      </c>
      <c r="X172" s="12">
        <f t="shared" si="87"/>
        <v>141</v>
      </c>
      <c r="Y172" s="12">
        <f>IF(Z172=0,VLOOKUP(W172,Kontenplan!$Y$9:$AA$551,3),"")</f>
        <v>0</v>
      </c>
      <c r="Z172" s="12">
        <f t="shared" si="103"/>
        <v>0</v>
      </c>
      <c r="AA172" s="12" t="str">
        <f t="shared" ca="1" si="104"/>
        <v/>
      </c>
      <c r="AB172" s="46" t="str">
        <f t="shared" ca="1" si="105"/>
        <v/>
      </c>
      <c r="AC172" s="46" t="str">
        <f t="shared" ca="1" si="106"/>
        <v/>
      </c>
      <c r="AD172" s="47"/>
      <c r="AE172" s="12">
        <f>IF(AF172=0,VLOOKUP(X172,Kontenplan!$Z$9:$AB$551,3),"")</f>
        <v>0</v>
      </c>
      <c r="AF172" s="47">
        <f t="shared" si="107"/>
        <v>0</v>
      </c>
      <c r="AG172" s="12" t="str">
        <f t="shared" ca="1" si="108"/>
        <v/>
      </c>
      <c r="AH172" s="46" t="str">
        <f t="shared" ca="1" si="109"/>
        <v/>
      </c>
      <c r="AI172" s="46" t="str">
        <f t="shared" ca="1" si="110"/>
        <v/>
      </c>
      <c r="AJ172" s="46"/>
      <c r="AK172" s="147">
        <f t="shared" ca="1" si="111"/>
        <v>2.0156000000000329</v>
      </c>
      <c r="AL172" s="147">
        <f t="shared" si="112"/>
        <v>2.0159000000000336</v>
      </c>
      <c r="AM172" s="12" t="str">
        <f>IF(V172&lt;=AO$3,VLOOKUP(V172,Kontenplan!$A$9:$D$278,4),"")</f>
        <v/>
      </c>
      <c r="AN172" s="12">
        <f t="shared" si="113"/>
        <v>0</v>
      </c>
      <c r="AO172" s="12" t="str">
        <f t="shared" ca="1" si="114"/>
        <v/>
      </c>
      <c r="AP172" s="46" t="str">
        <f t="shared" ca="1" si="115"/>
        <v/>
      </c>
      <c r="AQ172" s="46" t="str">
        <f t="shared" ca="1" si="116"/>
        <v/>
      </c>
      <c r="AR172" s="46"/>
      <c r="AS172" s="147">
        <f t="shared" ca="1" si="117"/>
        <v>3.0155000000000327</v>
      </c>
      <c r="AT172" s="147">
        <f t="shared" si="118"/>
        <v>2.0160000000000338</v>
      </c>
      <c r="AU172" s="47" t="str">
        <f>IF(V172&lt;=AW$3,VLOOKUP(AO$3+V172,Kontenplan!$A$9:$D$278,4),"")</f>
        <v/>
      </c>
      <c r="AV172" s="12">
        <f t="shared" si="119"/>
        <v>0</v>
      </c>
      <c r="AW172" s="12" t="str">
        <f t="shared" ca="1" si="120"/>
        <v/>
      </c>
      <c r="AX172" s="46" t="str">
        <f t="shared" ca="1" si="88"/>
        <v/>
      </c>
      <c r="AY172" s="46" t="str">
        <f t="shared" ca="1" si="121"/>
        <v/>
      </c>
      <c r="BA172" s="12">
        <f>Kontenplan!R174</f>
        <v>3</v>
      </c>
      <c r="BB172" s="12">
        <f>Kontenplan!S174</f>
        <v>2</v>
      </c>
      <c r="BC172" s="12">
        <f>Kontenplan!T174</f>
        <v>4</v>
      </c>
      <c r="BD172" s="170">
        <f>Kontenplan!U174</f>
        <v>4</v>
      </c>
      <c r="BF172" s="24">
        <f ca="1">SUM(AP$7:AP172)</f>
        <v>0</v>
      </c>
      <c r="BG172" s="46">
        <f ca="1">SUM(AQ$7:AQ171)</f>
        <v>0</v>
      </c>
      <c r="BH172" s="24">
        <f t="shared" ca="1" si="122"/>
        <v>0</v>
      </c>
      <c r="BI172" s="24"/>
      <c r="BJ172" s="24">
        <f ca="1">SUM(AX$7:AX172)</f>
        <v>0</v>
      </c>
      <c r="BK172" s="24">
        <f ca="1">SUM(AY$7:AY171)</f>
        <v>0</v>
      </c>
      <c r="BL172" s="24">
        <f t="shared" ca="1" si="123"/>
        <v>0</v>
      </c>
      <c r="BN172" s="24">
        <f ca="1">SUM(AB$7:AB172)</f>
        <v>0</v>
      </c>
      <c r="BO172" s="46">
        <f ca="1">SUM(AC$7:AC171)</f>
        <v>0</v>
      </c>
      <c r="BP172" s="24">
        <f t="shared" ca="1" si="124"/>
        <v>0</v>
      </c>
      <c r="BR172" s="24">
        <f ca="1">SUM(AH$7:AH172)</f>
        <v>0</v>
      </c>
      <c r="BS172" s="46">
        <f ca="1">SUM(AI$7:AI171)</f>
        <v>0</v>
      </c>
      <c r="BT172" s="24">
        <f t="shared" ca="1" si="125"/>
        <v>0</v>
      </c>
    </row>
    <row r="173" spans="1:72" s="12" customFormat="1">
      <c r="A173" s="202">
        <f>Kontenplan!C175</f>
        <v>0</v>
      </c>
      <c r="B173" s="224">
        <f>Kontenplan!E175</f>
        <v>0</v>
      </c>
      <c r="C173" s="225">
        <f>Kontenplan!F175</f>
        <v>0</v>
      </c>
      <c r="D173" s="43">
        <f>IF(B173=0,0,SUMIF(Journal!$F$7:$F$83,Calc!B173,Journal!$I$7:$I$83))</f>
        <v>0</v>
      </c>
      <c r="E173" s="15">
        <f>IF(B173=0,0,SUMIF(Journal!$G$7:$M247,Calc!B173,Journal!$I$7:$I$83))</f>
        <v>0</v>
      </c>
      <c r="F173" s="44">
        <f t="shared" si="89"/>
        <v>0</v>
      </c>
      <c r="G173" s="15">
        <f t="shared" si="90"/>
        <v>0</v>
      </c>
      <c r="H173" s="14" t="str">
        <f t="shared" si="91"/>
        <v xml:space="preserve"> </v>
      </c>
      <c r="I173" s="43" t="str">
        <f t="shared" si="92"/>
        <v xml:space="preserve"> </v>
      </c>
      <c r="J173" s="45" t="str">
        <f t="shared" si="93"/>
        <v xml:space="preserve"> </v>
      </c>
      <c r="K173" s="48" t="str">
        <f t="shared" si="94"/>
        <v xml:space="preserve"> </v>
      </c>
      <c r="L173" s="45" t="str">
        <f t="shared" si="95"/>
        <v xml:space="preserve"> </v>
      </c>
      <c r="M173" s="48" t="str">
        <f t="shared" si="96"/>
        <v xml:space="preserve"> </v>
      </c>
      <c r="N173" s="24"/>
      <c r="O173" s="12">
        <f t="shared" si="97"/>
        <v>10.031399999999927</v>
      </c>
      <c r="P173" s="12">
        <f t="shared" si="98"/>
        <v>9.029599999999931</v>
      </c>
      <c r="Q173" s="12">
        <f t="shared" si="99"/>
        <v>31.023399999999945</v>
      </c>
      <c r="R173" s="12">
        <f t="shared" si="100"/>
        <v>29.017599999999959</v>
      </c>
      <c r="S173" s="12">
        <f t="shared" si="101"/>
        <v>0</v>
      </c>
      <c r="T173" s="12">
        <f t="shared" si="102"/>
        <v>0</v>
      </c>
      <c r="U173" s="43">
        <f>IF(OR(A173=Kontenplan!$C$3,A173=Kontenplan!$C$5),F173-G173,G173-F173)</f>
        <v>0</v>
      </c>
      <c r="V173" s="171">
        <f t="shared" si="85"/>
        <v>167</v>
      </c>
      <c r="W173" s="12">
        <f t="shared" si="86"/>
        <v>140</v>
      </c>
      <c r="X173" s="12">
        <f t="shared" si="87"/>
        <v>142</v>
      </c>
      <c r="Y173" s="12">
        <f>IF(Z173=0,VLOOKUP(W173,Kontenplan!$Y$9:$AA$551,3),"")</f>
        <v>0</v>
      </c>
      <c r="Z173" s="12">
        <f t="shared" si="103"/>
        <v>0</v>
      </c>
      <c r="AA173" s="12" t="str">
        <f t="shared" ca="1" si="104"/>
        <v/>
      </c>
      <c r="AB173" s="46" t="str">
        <f t="shared" ca="1" si="105"/>
        <v/>
      </c>
      <c r="AC173" s="46" t="str">
        <f t="shared" ca="1" si="106"/>
        <v/>
      </c>
      <c r="AD173" s="47"/>
      <c r="AE173" s="12">
        <f>IF(AF173=0,VLOOKUP(X173,Kontenplan!$Z$9:$AB$551,3),"")</f>
        <v>0</v>
      </c>
      <c r="AF173" s="47">
        <f t="shared" si="107"/>
        <v>0</v>
      </c>
      <c r="AG173" s="12" t="str">
        <f t="shared" ca="1" si="108"/>
        <v/>
      </c>
      <c r="AH173" s="46" t="str">
        <f t="shared" ca="1" si="109"/>
        <v/>
      </c>
      <c r="AI173" s="46" t="str">
        <f t="shared" ca="1" si="110"/>
        <v/>
      </c>
      <c r="AJ173" s="46"/>
      <c r="AK173" s="147">
        <f t="shared" ca="1" si="111"/>
        <v>2.0157000000000331</v>
      </c>
      <c r="AL173" s="147">
        <f t="shared" si="112"/>
        <v>2.0160000000000338</v>
      </c>
      <c r="AM173" s="12" t="str">
        <f>IF(V173&lt;=AO$3,VLOOKUP(V173,Kontenplan!$A$9:$D$278,4),"")</f>
        <v/>
      </c>
      <c r="AN173" s="12">
        <f t="shared" si="113"/>
        <v>0</v>
      </c>
      <c r="AO173" s="12" t="str">
        <f t="shared" ca="1" si="114"/>
        <v/>
      </c>
      <c r="AP173" s="46" t="str">
        <f t="shared" ca="1" si="115"/>
        <v/>
      </c>
      <c r="AQ173" s="46" t="str">
        <f t="shared" ca="1" si="116"/>
        <v/>
      </c>
      <c r="AR173" s="46"/>
      <c r="AS173" s="147">
        <f t="shared" ca="1" si="117"/>
        <v>3.0156000000000329</v>
      </c>
      <c r="AT173" s="147">
        <f t="shared" si="118"/>
        <v>2.016100000000034</v>
      </c>
      <c r="AU173" s="47" t="str">
        <f>IF(V173&lt;=AW$3,VLOOKUP(AO$3+V173,Kontenplan!$A$9:$D$278,4),"")</f>
        <v/>
      </c>
      <c r="AV173" s="12">
        <f t="shared" si="119"/>
        <v>0</v>
      </c>
      <c r="AW173" s="12" t="str">
        <f t="shared" ca="1" si="120"/>
        <v/>
      </c>
      <c r="AX173" s="46" t="str">
        <f t="shared" ca="1" si="88"/>
        <v/>
      </c>
      <c r="AY173" s="46" t="str">
        <f t="shared" ca="1" si="121"/>
        <v/>
      </c>
      <c r="BA173" s="12">
        <f>Kontenplan!R175</f>
        <v>3</v>
      </c>
      <c r="BB173" s="12">
        <f>Kontenplan!S175</f>
        <v>2</v>
      </c>
      <c r="BC173" s="12">
        <f>Kontenplan!T175</f>
        <v>4</v>
      </c>
      <c r="BD173" s="170">
        <f>Kontenplan!U175</f>
        <v>4</v>
      </c>
      <c r="BF173" s="24">
        <f ca="1">SUM(AP$7:AP173)</f>
        <v>0</v>
      </c>
      <c r="BG173" s="46">
        <f ca="1">SUM(AQ$7:AQ172)</f>
        <v>0</v>
      </c>
      <c r="BH173" s="24">
        <f t="shared" ca="1" si="122"/>
        <v>0</v>
      </c>
      <c r="BI173" s="24"/>
      <c r="BJ173" s="24">
        <f ca="1">SUM(AX$7:AX173)</f>
        <v>0</v>
      </c>
      <c r="BK173" s="24">
        <f ca="1">SUM(AY$7:AY172)</f>
        <v>0</v>
      </c>
      <c r="BL173" s="24">
        <f t="shared" ca="1" si="123"/>
        <v>0</v>
      </c>
      <c r="BN173" s="24">
        <f ca="1">SUM(AB$7:AB173)</f>
        <v>0</v>
      </c>
      <c r="BO173" s="46">
        <f ca="1">SUM(AC$7:AC172)</f>
        <v>0</v>
      </c>
      <c r="BP173" s="24">
        <f t="shared" ca="1" si="124"/>
        <v>0</v>
      </c>
      <c r="BR173" s="24">
        <f ca="1">SUM(AH$7:AH173)</f>
        <v>0</v>
      </c>
      <c r="BS173" s="46">
        <f ca="1">SUM(AI$7:AI172)</f>
        <v>0</v>
      </c>
      <c r="BT173" s="24">
        <f t="shared" ca="1" si="125"/>
        <v>0</v>
      </c>
    </row>
    <row r="174" spans="1:72" s="12" customFormat="1">
      <c r="A174" s="202">
        <f>Kontenplan!C176</f>
        <v>0</v>
      </c>
      <c r="B174" s="224">
        <f>Kontenplan!E176</f>
        <v>0</v>
      </c>
      <c r="C174" s="225">
        <f>Kontenplan!F176</f>
        <v>0</v>
      </c>
      <c r="D174" s="43">
        <f>IF(B174=0,0,SUMIF(Journal!$F$7:$F$83,Calc!B174,Journal!$I$7:$I$83))</f>
        <v>0</v>
      </c>
      <c r="E174" s="15">
        <f>IF(B174=0,0,SUMIF(Journal!$G$7:$M248,Calc!B174,Journal!$I$7:$I$83))</f>
        <v>0</v>
      </c>
      <c r="F174" s="44">
        <f t="shared" si="89"/>
        <v>0</v>
      </c>
      <c r="G174" s="15">
        <f t="shared" si="90"/>
        <v>0</v>
      </c>
      <c r="H174" s="14" t="str">
        <f t="shared" si="91"/>
        <v xml:space="preserve"> </v>
      </c>
      <c r="I174" s="43" t="str">
        <f t="shared" si="92"/>
        <v xml:space="preserve"> </v>
      </c>
      <c r="J174" s="45" t="str">
        <f t="shared" si="93"/>
        <v xml:space="preserve"> </v>
      </c>
      <c r="K174" s="48" t="str">
        <f t="shared" si="94"/>
        <v xml:space="preserve"> </v>
      </c>
      <c r="L174" s="45" t="str">
        <f t="shared" si="95"/>
        <v xml:space="preserve"> </v>
      </c>
      <c r="M174" s="48" t="str">
        <f t="shared" si="96"/>
        <v xml:space="preserve"> </v>
      </c>
      <c r="N174" s="24"/>
      <c r="O174" s="12">
        <f t="shared" si="97"/>
        <v>10.031599999999926</v>
      </c>
      <c r="P174" s="12">
        <f t="shared" si="98"/>
        <v>9.0297999999999305</v>
      </c>
      <c r="Q174" s="12">
        <f t="shared" si="99"/>
        <v>31.023599999999945</v>
      </c>
      <c r="R174" s="12">
        <f t="shared" si="100"/>
        <v>29.017799999999959</v>
      </c>
      <c r="S174" s="12">
        <f t="shared" si="101"/>
        <v>0</v>
      </c>
      <c r="T174" s="12">
        <f t="shared" si="102"/>
        <v>0</v>
      </c>
      <c r="U174" s="43">
        <f>IF(OR(A174=Kontenplan!$C$3,A174=Kontenplan!$C$5),F174-G174,G174-F174)</f>
        <v>0</v>
      </c>
      <c r="V174" s="171">
        <f t="shared" si="85"/>
        <v>168</v>
      </c>
      <c r="W174" s="12">
        <f t="shared" si="86"/>
        <v>141</v>
      </c>
      <c r="X174" s="12">
        <f t="shared" si="87"/>
        <v>143</v>
      </c>
      <c r="Y174" s="12">
        <f>IF(Z174=0,VLOOKUP(W174,Kontenplan!$Y$9:$AA$551,3),"")</f>
        <v>0</v>
      </c>
      <c r="Z174" s="12">
        <f t="shared" si="103"/>
        <v>0</v>
      </c>
      <c r="AA174" s="12" t="str">
        <f t="shared" ca="1" si="104"/>
        <v/>
      </c>
      <c r="AB174" s="46" t="str">
        <f t="shared" ca="1" si="105"/>
        <v/>
      </c>
      <c r="AC174" s="46" t="str">
        <f t="shared" ca="1" si="106"/>
        <v/>
      </c>
      <c r="AD174" s="47"/>
      <c r="AE174" s="12">
        <f>IF(AF174=0,VLOOKUP(X174,Kontenplan!$Z$9:$AB$551,3),"")</f>
        <v>0</v>
      </c>
      <c r="AF174" s="47">
        <f t="shared" si="107"/>
        <v>0</v>
      </c>
      <c r="AG174" s="12" t="str">
        <f t="shared" ca="1" si="108"/>
        <v/>
      </c>
      <c r="AH174" s="46" t="str">
        <f t="shared" ca="1" si="109"/>
        <v/>
      </c>
      <c r="AI174" s="46" t="str">
        <f t="shared" ca="1" si="110"/>
        <v/>
      </c>
      <c r="AJ174" s="46"/>
      <c r="AK174" s="147">
        <f t="shared" ca="1" si="111"/>
        <v>2.0158000000000333</v>
      </c>
      <c r="AL174" s="147">
        <f t="shared" si="112"/>
        <v>2.016100000000034</v>
      </c>
      <c r="AM174" s="12" t="str">
        <f>IF(V174&lt;=AO$3,VLOOKUP(V174,Kontenplan!$A$9:$D$278,4),"")</f>
        <v/>
      </c>
      <c r="AN174" s="12">
        <f t="shared" si="113"/>
        <v>0</v>
      </c>
      <c r="AO174" s="12" t="str">
        <f t="shared" ca="1" si="114"/>
        <v/>
      </c>
      <c r="AP174" s="46" t="str">
        <f t="shared" ca="1" si="115"/>
        <v/>
      </c>
      <c r="AQ174" s="46" t="str">
        <f t="shared" ca="1" si="116"/>
        <v/>
      </c>
      <c r="AR174" s="46"/>
      <c r="AS174" s="147">
        <f t="shared" ca="1" si="117"/>
        <v>3.0157000000000331</v>
      </c>
      <c r="AT174" s="147">
        <f t="shared" si="118"/>
        <v>2.0162000000000342</v>
      </c>
      <c r="AU174" s="47" t="str">
        <f>IF(V174&lt;=AW$3,VLOOKUP(AO$3+V174,Kontenplan!$A$9:$D$278,4),"")</f>
        <v/>
      </c>
      <c r="AV174" s="12">
        <f t="shared" si="119"/>
        <v>0</v>
      </c>
      <c r="AW174" s="12" t="str">
        <f t="shared" ca="1" si="120"/>
        <v/>
      </c>
      <c r="AX174" s="46" t="str">
        <f t="shared" ca="1" si="88"/>
        <v/>
      </c>
      <c r="AY174" s="46" t="str">
        <f t="shared" ca="1" si="121"/>
        <v/>
      </c>
      <c r="BA174" s="12">
        <f>Kontenplan!R176</f>
        <v>3</v>
      </c>
      <c r="BB174" s="12">
        <f>Kontenplan!S176</f>
        <v>2</v>
      </c>
      <c r="BC174" s="12">
        <f>Kontenplan!T176</f>
        <v>4</v>
      </c>
      <c r="BD174" s="170">
        <f>Kontenplan!U176</f>
        <v>4</v>
      </c>
      <c r="BF174" s="24">
        <f ca="1">SUM(AP$7:AP174)</f>
        <v>0</v>
      </c>
      <c r="BG174" s="46">
        <f ca="1">SUM(AQ$7:AQ173)</f>
        <v>0</v>
      </c>
      <c r="BH174" s="24">
        <f t="shared" ca="1" si="122"/>
        <v>0</v>
      </c>
      <c r="BI174" s="24"/>
      <c r="BJ174" s="24">
        <f ca="1">SUM(AX$7:AX174)</f>
        <v>0</v>
      </c>
      <c r="BK174" s="24">
        <f ca="1">SUM(AY$7:AY173)</f>
        <v>0</v>
      </c>
      <c r="BL174" s="24">
        <f t="shared" ca="1" si="123"/>
        <v>0</v>
      </c>
      <c r="BN174" s="24">
        <f ca="1">SUM(AB$7:AB174)</f>
        <v>0</v>
      </c>
      <c r="BO174" s="46">
        <f ca="1">SUM(AC$7:AC173)</f>
        <v>0</v>
      </c>
      <c r="BP174" s="24">
        <f t="shared" ca="1" si="124"/>
        <v>0</v>
      </c>
      <c r="BR174" s="24">
        <f ca="1">SUM(AH$7:AH174)</f>
        <v>0</v>
      </c>
      <c r="BS174" s="46">
        <f ca="1">SUM(AI$7:AI173)</f>
        <v>0</v>
      </c>
      <c r="BT174" s="24">
        <f t="shared" ca="1" si="125"/>
        <v>0</v>
      </c>
    </row>
    <row r="175" spans="1:72" s="12" customFormat="1">
      <c r="A175" s="202">
        <f>Kontenplan!C177</f>
        <v>0</v>
      </c>
      <c r="B175" s="224">
        <f>Kontenplan!E177</f>
        <v>0</v>
      </c>
      <c r="C175" s="225">
        <f>Kontenplan!F177</f>
        <v>0</v>
      </c>
      <c r="D175" s="43">
        <f>IF(B175=0,0,SUMIF(Journal!$F$7:$F$83,Calc!B175,Journal!$I$7:$I$83))</f>
        <v>0</v>
      </c>
      <c r="E175" s="15">
        <f>IF(B175=0,0,SUMIF(Journal!$G$7:$M249,Calc!B175,Journal!$I$7:$I$83))</f>
        <v>0</v>
      </c>
      <c r="F175" s="44">
        <f t="shared" si="89"/>
        <v>0</v>
      </c>
      <c r="G175" s="15">
        <f t="shared" si="90"/>
        <v>0</v>
      </c>
      <c r="H175" s="14" t="str">
        <f t="shared" si="91"/>
        <v xml:space="preserve"> </v>
      </c>
      <c r="I175" s="43" t="str">
        <f t="shared" si="92"/>
        <v xml:space="preserve"> </v>
      </c>
      <c r="J175" s="45" t="str">
        <f t="shared" si="93"/>
        <v xml:space="preserve"> </v>
      </c>
      <c r="K175" s="48" t="str">
        <f t="shared" si="94"/>
        <v xml:space="preserve"> </v>
      </c>
      <c r="L175" s="45" t="str">
        <f t="shared" si="95"/>
        <v xml:space="preserve"> </v>
      </c>
      <c r="M175" s="48" t="str">
        <f t="shared" si="96"/>
        <v xml:space="preserve"> </v>
      </c>
      <c r="N175" s="24"/>
      <c r="O175" s="12">
        <f t="shared" si="97"/>
        <v>10.031799999999926</v>
      </c>
      <c r="P175" s="12">
        <f t="shared" si="98"/>
        <v>9.0299999999999301</v>
      </c>
      <c r="Q175" s="12">
        <f t="shared" si="99"/>
        <v>31.023799999999945</v>
      </c>
      <c r="R175" s="12">
        <f t="shared" si="100"/>
        <v>29.017999999999958</v>
      </c>
      <c r="S175" s="12">
        <f t="shared" si="101"/>
        <v>0</v>
      </c>
      <c r="T175" s="12">
        <f t="shared" si="102"/>
        <v>0</v>
      </c>
      <c r="U175" s="43">
        <f>IF(OR(A175=Kontenplan!$C$3,A175=Kontenplan!$C$5),F175-G175,G175-F175)</f>
        <v>0</v>
      </c>
      <c r="V175" s="171">
        <f t="shared" si="85"/>
        <v>169</v>
      </c>
      <c r="W175" s="12">
        <f t="shared" si="86"/>
        <v>142</v>
      </c>
      <c r="X175" s="12">
        <f t="shared" si="87"/>
        <v>144</v>
      </c>
      <c r="Y175" s="12">
        <f>IF(Z175=0,VLOOKUP(W175,Kontenplan!$Y$9:$AA$551,3),"")</f>
        <v>0</v>
      </c>
      <c r="Z175" s="12">
        <f t="shared" si="103"/>
        <v>0</v>
      </c>
      <c r="AA175" s="12" t="str">
        <f t="shared" ca="1" si="104"/>
        <v/>
      </c>
      <c r="AB175" s="46" t="str">
        <f t="shared" ca="1" si="105"/>
        <v/>
      </c>
      <c r="AC175" s="46" t="str">
        <f t="shared" ca="1" si="106"/>
        <v/>
      </c>
      <c r="AD175" s="47"/>
      <c r="AE175" s="12">
        <f>IF(AF175=0,VLOOKUP(X175,Kontenplan!$Z$9:$AB$551,3),"")</f>
        <v>0</v>
      </c>
      <c r="AF175" s="47">
        <f t="shared" si="107"/>
        <v>0</v>
      </c>
      <c r="AG175" s="12" t="str">
        <f t="shared" ca="1" si="108"/>
        <v/>
      </c>
      <c r="AH175" s="46" t="str">
        <f t="shared" ca="1" si="109"/>
        <v/>
      </c>
      <c r="AI175" s="46" t="str">
        <f t="shared" ca="1" si="110"/>
        <v/>
      </c>
      <c r="AJ175" s="46"/>
      <c r="AK175" s="147">
        <f t="shared" ca="1" si="111"/>
        <v>2.0159000000000336</v>
      </c>
      <c r="AL175" s="147">
        <f t="shared" si="112"/>
        <v>2.0162000000000342</v>
      </c>
      <c r="AM175" s="12" t="str">
        <f>IF(V175&lt;=AO$3,VLOOKUP(V175,Kontenplan!$A$9:$D$278,4),"")</f>
        <v/>
      </c>
      <c r="AN175" s="12">
        <f t="shared" si="113"/>
        <v>0</v>
      </c>
      <c r="AO175" s="12" t="str">
        <f t="shared" ca="1" si="114"/>
        <v/>
      </c>
      <c r="AP175" s="46" t="str">
        <f t="shared" ca="1" si="115"/>
        <v/>
      </c>
      <c r="AQ175" s="46" t="str">
        <f t="shared" ca="1" si="116"/>
        <v/>
      </c>
      <c r="AR175" s="46"/>
      <c r="AS175" s="147">
        <f t="shared" ca="1" si="117"/>
        <v>3.0158000000000333</v>
      </c>
      <c r="AT175" s="147">
        <f t="shared" si="118"/>
        <v>2.0163000000000344</v>
      </c>
      <c r="AU175" s="47" t="str">
        <f>IF(V175&lt;=AW$3,VLOOKUP(AO$3+V175,Kontenplan!$A$9:$D$278,4),"")</f>
        <v/>
      </c>
      <c r="AV175" s="12">
        <f t="shared" si="119"/>
        <v>0</v>
      </c>
      <c r="AW175" s="12" t="str">
        <f t="shared" ca="1" si="120"/>
        <v/>
      </c>
      <c r="AX175" s="46" t="str">
        <f t="shared" ca="1" si="88"/>
        <v/>
      </c>
      <c r="AY175" s="46" t="str">
        <f t="shared" ca="1" si="121"/>
        <v/>
      </c>
      <c r="BA175" s="12">
        <f>Kontenplan!R177</f>
        <v>3</v>
      </c>
      <c r="BB175" s="12">
        <f>Kontenplan!S177</f>
        <v>2</v>
      </c>
      <c r="BC175" s="12">
        <f>Kontenplan!T177</f>
        <v>4</v>
      </c>
      <c r="BD175" s="170">
        <f>Kontenplan!U177</f>
        <v>4</v>
      </c>
      <c r="BF175" s="24">
        <f ca="1">SUM(AP$7:AP175)</f>
        <v>0</v>
      </c>
      <c r="BG175" s="46">
        <f ca="1">SUM(AQ$7:AQ174)</f>
        <v>0</v>
      </c>
      <c r="BH175" s="24">
        <f t="shared" ca="1" si="122"/>
        <v>0</v>
      </c>
      <c r="BI175" s="24"/>
      <c r="BJ175" s="24">
        <f ca="1">SUM(AX$7:AX175)</f>
        <v>0</v>
      </c>
      <c r="BK175" s="24">
        <f ca="1">SUM(AY$7:AY174)</f>
        <v>0</v>
      </c>
      <c r="BL175" s="24">
        <f t="shared" ca="1" si="123"/>
        <v>0</v>
      </c>
      <c r="BN175" s="24">
        <f ca="1">SUM(AB$7:AB175)</f>
        <v>0</v>
      </c>
      <c r="BO175" s="46">
        <f ca="1">SUM(AC$7:AC174)</f>
        <v>0</v>
      </c>
      <c r="BP175" s="24">
        <f t="shared" ca="1" si="124"/>
        <v>0</v>
      </c>
      <c r="BR175" s="24">
        <f ca="1">SUM(AH$7:AH175)</f>
        <v>0</v>
      </c>
      <c r="BS175" s="46">
        <f ca="1">SUM(AI$7:AI174)</f>
        <v>0</v>
      </c>
      <c r="BT175" s="24">
        <f t="shared" ca="1" si="125"/>
        <v>0</v>
      </c>
    </row>
    <row r="176" spans="1:72" s="12" customFormat="1">
      <c r="A176" s="202">
        <f>Kontenplan!C178</f>
        <v>0</v>
      </c>
      <c r="B176" s="224">
        <f>Kontenplan!E178</f>
        <v>0</v>
      </c>
      <c r="C176" s="225">
        <f>Kontenplan!F178</f>
        <v>0</v>
      </c>
      <c r="D176" s="43">
        <f>IF(B176=0,0,SUMIF(Journal!$F$7:$F$83,Calc!B176,Journal!$I$7:$I$83))</f>
        <v>0</v>
      </c>
      <c r="E176" s="15">
        <f>IF(B176=0,0,SUMIF(Journal!$G$7:$M250,Calc!B176,Journal!$I$7:$I$83))</f>
        <v>0</v>
      </c>
      <c r="F176" s="44">
        <f t="shared" si="89"/>
        <v>0</v>
      </c>
      <c r="G176" s="15">
        <f t="shared" si="90"/>
        <v>0</v>
      </c>
      <c r="H176" s="14" t="str">
        <f t="shared" si="91"/>
        <v xml:space="preserve"> </v>
      </c>
      <c r="I176" s="43" t="str">
        <f t="shared" si="92"/>
        <v xml:space="preserve"> </v>
      </c>
      <c r="J176" s="45" t="str">
        <f t="shared" si="93"/>
        <v xml:space="preserve"> </v>
      </c>
      <c r="K176" s="48" t="str">
        <f t="shared" si="94"/>
        <v xml:space="preserve"> </v>
      </c>
      <c r="L176" s="45" t="str">
        <f t="shared" si="95"/>
        <v xml:space="preserve"> </v>
      </c>
      <c r="M176" s="48" t="str">
        <f t="shared" si="96"/>
        <v xml:space="preserve"> </v>
      </c>
      <c r="N176" s="24"/>
      <c r="O176" s="12">
        <f t="shared" si="97"/>
        <v>10.031999999999925</v>
      </c>
      <c r="P176" s="12">
        <f t="shared" si="98"/>
        <v>9.0301999999999296</v>
      </c>
      <c r="Q176" s="12">
        <f t="shared" si="99"/>
        <v>31.023999999999944</v>
      </c>
      <c r="R176" s="12">
        <f t="shared" si="100"/>
        <v>29.018199999999958</v>
      </c>
      <c r="S176" s="12">
        <f t="shared" si="101"/>
        <v>0</v>
      </c>
      <c r="T176" s="12">
        <f t="shared" si="102"/>
        <v>0</v>
      </c>
      <c r="U176" s="43">
        <f>IF(OR(A176=Kontenplan!$C$3,A176=Kontenplan!$C$5),F176-G176,G176-F176)</f>
        <v>0</v>
      </c>
      <c r="V176" s="171">
        <f t="shared" si="85"/>
        <v>170</v>
      </c>
      <c r="W176" s="12">
        <f t="shared" si="86"/>
        <v>143</v>
      </c>
      <c r="X176" s="12">
        <f t="shared" si="87"/>
        <v>145</v>
      </c>
      <c r="Y176" s="12">
        <f>IF(Z176=0,VLOOKUP(W176,Kontenplan!$Y$9:$AA$551,3),"")</f>
        <v>0</v>
      </c>
      <c r="Z176" s="12">
        <f t="shared" si="103"/>
        <v>0</v>
      </c>
      <c r="AA176" s="12" t="str">
        <f t="shared" ca="1" si="104"/>
        <v/>
      </c>
      <c r="AB176" s="46" t="str">
        <f t="shared" ca="1" si="105"/>
        <v/>
      </c>
      <c r="AC176" s="46" t="str">
        <f t="shared" ca="1" si="106"/>
        <v/>
      </c>
      <c r="AD176" s="47"/>
      <c r="AE176" s="12">
        <f>IF(AF176=0,VLOOKUP(X176,Kontenplan!$Z$9:$AB$551,3),"")</f>
        <v>0</v>
      </c>
      <c r="AF176" s="47">
        <f t="shared" si="107"/>
        <v>0</v>
      </c>
      <c r="AG176" s="12" t="str">
        <f t="shared" ca="1" si="108"/>
        <v/>
      </c>
      <c r="AH176" s="46" t="str">
        <f t="shared" ca="1" si="109"/>
        <v/>
      </c>
      <c r="AI176" s="46" t="str">
        <f t="shared" ca="1" si="110"/>
        <v/>
      </c>
      <c r="AJ176" s="46"/>
      <c r="AK176" s="147">
        <f t="shared" ca="1" si="111"/>
        <v>2.0160000000000338</v>
      </c>
      <c r="AL176" s="147">
        <f t="shared" si="112"/>
        <v>2.0163000000000344</v>
      </c>
      <c r="AM176" s="12" t="str">
        <f>IF(V176&lt;=AO$3,VLOOKUP(V176,Kontenplan!$A$9:$D$278,4),"")</f>
        <v/>
      </c>
      <c r="AN176" s="12">
        <f t="shared" si="113"/>
        <v>0</v>
      </c>
      <c r="AO176" s="12" t="str">
        <f t="shared" ca="1" si="114"/>
        <v/>
      </c>
      <c r="AP176" s="46" t="str">
        <f t="shared" ca="1" si="115"/>
        <v/>
      </c>
      <c r="AQ176" s="46" t="str">
        <f t="shared" ca="1" si="116"/>
        <v/>
      </c>
      <c r="AR176" s="46"/>
      <c r="AS176" s="147">
        <f t="shared" ca="1" si="117"/>
        <v>3.0159000000000336</v>
      </c>
      <c r="AT176" s="147">
        <f t="shared" si="118"/>
        <v>2.0164000000000346</v>
      </c>
      <c r="AU176" s="47" t="str">
        <f>IF(V176&lt;=AW$3,VLOOKUP(AO$3+V176,Kontenplan!$A$9:$D$278,4),"")</f>
        <v/>
      </c>
      <c r="AV176" s="12">
        <f t="shared" si="119"/>
        <v>0</v>
      </c>
      <c r="AW176" s="12" t="str">
        <f t="shared" ca="1" si="120"/>
        <v/>
      </c>
      <c r="AX176" s="46" t="str">
        <f t="shared" ca="1" si="88"/>
        <v/>
      </c>
      <c r="AY176" s="46" t="str">
        <f t="shared" ca="1" si="121"/>
        <v/>
      </c>
      <c r="BA176" s="12">
        <f>Kontenplan!R178</f>
        <v>3</v>
      </c>
      <c r="BB176" s="12">
        <f>Kontenplan!S178</f>
        <v>2</v>
      </c>
      <c r="BC176" s="12">
        <f>Kontenplan!T178</f>
        <v>4</v>
      </c>
      <c r="BD176" s="170">
        <f>Kontenplan!U178</f>
        <v>4</v>
      </c>
      <c r="BF176" s="24">
        <f ca="1">SUM(AP$7:AP176)</f>
        <v>0</v>
      </c>
      <c r="BG176" s="46">
        <f ca="1">SUM(AQ$7:AQ175)</f>
        <v>0</v>
      </c>
      <c r="BH176" s="24">
        <f t="shared" ca="1" si="122"/>
        <v>0</v>
      </c>
      <c r="BI176" s="24"/>
      <c r="BJ176" s="24">
        <f ca="1">SUM(AX$7:AX176)</f>
        <v>0</v>
      </c>
      <c r="BK176" s="24">
        <f ca="1">SUM(AY$7:AY175)</f>
        <v>0</v>
      </c>
      <c r="BL176" s="24">
        <f t="shared" ca="1" si="123"/>
        <v>0</v>
      </c>
      <c r="BN176" s="24">
        <f ca="1">SUM(AB$7:AB176)</f>
        <v>0</v>
      </c>
      <c r="BO176" s="46">
        <f ca="1">SUM(AC$7:AC175)</f>
        <v>0</v>
      </c>
      <c r="BP176" s="24">
        <f t="shared" ca="1" si="124"/>
        <v>0</v>
      </c>
      <c r="BR176" s="24">
        <f ca="1">SUM(AH$7:AH176)</f>
        <v>0</v>
      </c>
      <c r="BS176" s="46">
        <f ca="1">SUM(AI$7:AI175)</f>
        <v>0</v>
      </c>
      <c r="BT176" s="24">
        <f t="shared" ca="1" si="125"/>
        <v>0</v>
      </c>
    </row>
    <row r="177" spans="1:72" s="12" customFormat="1">
      <c r="A177" s="202">
        <f>Kontenplan!C179</f>
        <v>0</v>
      </c>
      <c r="B177" s="224">
        <f>Kontenplan!E179</f>
        <v>0</v>
      </c>
      <c r="C177" s="225">
        <f>Kontenplan!F179</f>
        <v>0</v>
      </c>
      <c r="D177" s="43">
        <f>IF(B177=0,0,SUMIF(Journal!$F$7:$F$83,Calc!B177,Journal!$I$7:$I$83))</f>
        <v>0</v>
      </c>
      <c r="E177" s="15">
        <f>IF(B177=0,0,SUMIF(Journal!$G$7:$M251,Calc!B177,Journal!$I$7:$I$83))</f>
        <v>0</v>
      </c>
      <c r="F177" s="44">
        <f t="shared" si="89"/>
        <v>0</v>
      </c>
      <c r="G177" s="15">
        <f t="shared" si="90"/>
        <v>0</v>
      </c>
      <c r="H177" s="14" t="str">
        <f t="shared" si="91"/>
        <v xml:space="preserve"> </v>
      </c>
      <c r="I177" s="43" t="str">
        <f t="shared" si="92"/>
        <v xml:space="preserve"> </v>
      </c>
      <c r="J177" s="45" t="str">
        <f t="shared" si="93"/>
        <v xml:space="preserve"> </v>
      </c>
      <c r="K177" s="48" t="str">
        <f t="shared" si="94"/>
        <v xml:space="preserve"> </v>
      </c>
      <c r="L177" s="45" t="str">
        <f t="shared" si="95"/>
        <v xml:space="preserve"> </v>
      </c>
      <c r="M177" s="48" t="str">
        <f t="shared" si="96"/>
        <v xml:space="preserve"> </v>
      </c>
      <c r="N177" s="24"/>
      <c r="O177" s="12">
        <f t="shared" si="97"/>
        <v>10.032199999999925</v>
      </c>
      <c r="P177" s="12">
        <f t="shared" si="98"/>
        <v>9.0303999999999292</v>
      </c>
      <c r="Q177" s="12">
        <f t="shared" si="99"/>
        <v>31.024199999999944</v>
      </c>
      <c r="R177" s="12">
        <f t="shared" si="100"/>
        <v>29.018399999999957</v>
      </c>
      <c r="S177" s="12">
        <f t="shared" si="101"/>
        <v>0</v>
      </c>
      <c r="T177" s="12">
        <f t="shared" si="102"/>
        <v>0</v>
      </c>
      <c r="U177" s="43">
        <f>IF(OR(A177=Kontenplan!$C$3,A177=Kontenplan!$C$5),F177-G177,G177-F177)</f>
        <v>0</v>
      </c>
      <c r="V177" s="171">
        <f t="shared" si="85"/>
        <v>171</v>
      </c>
      <c r="W177" s="12">
        <f t="shared" si="86"/>
        <v>144</v>
      </c>
      <c r="X177" s="12">
        <f t="shared" si="87"/>
        <v>146</v>
      </c>
      <c r="Y177" s="12">
        <f>IF(Z177=0,VLOOKUP(W177,Kontenplan!$Y$9:$AA$551,3),"")</f>
        <v>0</v>
      </c>
      <c r="Z177" s="12">
        <f t="shared" si="103"/>
        <v>0</v>
      </c>
      <c r="AA177" s="12" t="str">
        <f t="shared" ca="1" si="104"/>
        <v/>
      </c>
      <c r="AB177" s="46" t="str">
        <f t="shared" ca="1" si="105"/>
        <v/>
      </c>
      <c r="AC177" s="46" t="str">
        <f t="shared" ca="1" si="106"/>
        <v/>
      </c>
      <c r="AD177" s="47"/>
      <c r="AE177" s="12">
        <f>IF(AF177=0,VLOOKUP(X177,Kontenplan!$Z$9:$AB$551,3),"")</f>
        <v>0</v>
      </c>
      <c r="AF177" s="47">
        <f t="shared" si="107"/>
        <v>0</v>
      </c>
      <c r="AG177" s="12" t="str">
        <f t="shared" ca="1" si="108"/>
        <v/>
      </c>
      <c r="AH177" s="46" t="str">
        <f t="shared" ca="1" si="109"/>
        <v/>
      </c>
      <c r="AI177" s="46" t="str">
        <f t="shared" ca="1" si="110"/>
        <v/>
      </c>
      <c r="AJ177" s="46"/>
      <c r="AK177" s="147">
        <f t="shared" ca="1" si="111"/>
        <v>2.016100000000034</v>
      </c>
      <c r="AL177" s="147">
        <f t="shared" si="112"/>
        <v>2.0164000000000346</v>
      </c>
      <c r="AM177" s="12" t="str">
        <f>IF(V177&lt;=AO$3,VLOOKUP(V177,Kontenplan!$A$9:$D$278,4),"")</f>
        <v/>
      </c>
      <c r="AN177" s="12">
        <f t="shared" si="113"/>
        <v>0</v>
      </c>
      <c r="AO177" s="12" t="str">
        <f t="shared" ca="1" si="114"/>
        <v/>
      </c>
      <c r="AP177" s="46" t="str">
        <f t="shared" ca="1" si="115"/>
        <v/>
      </c>
      <c r="AQ177" s="46" t="str">
        <f t="shared" ca="1" si="116"/>
        <v/>
      </c>
      <c r="AR177" s="46"/>
      <c r="AS177" s="147">
        <f t="shared" ca="1" si="117"/>
        <v>3.0160000000000338</v>
      </c>
      <c r="AT177" s="147">
        <f t="shared" si="118"/>
        <v>2.0165000000000348</v>
      </c>
      <c r="AU177" s="47" t="str">
        <f>IF(V177&lt;=AW$3,VLOOKUP(AO$3+V177,Kontenplan!$A$9:$D$278,4),"")</f>
        <v/>
      </c>
      <c r="AV177" s="12">
        <f t="shared" si="119"/>
        <v>0</v>
      </c>
      <c r="AW177" s="12" t="str">
        <f t="shared" ca="1" si="120"/>
        <v/>
      </c>
      <c r="AX177" s="46" t="str">
        <f t="shared" ca="1" si="88"/>
        <v/>
      </c>
      <c r="AY177" s="46" t="str">
        <f t="shared" ca="1" si="121"/>
        <v/>
      </c>
      <c r="BA177" s="12">
        <f>Kontenplan!R179</f>
        <v>3</v>
      </c>
      <c r="BB177" s="12">
        <f>Kontenplan!S179</f>
        <v>2</v>
      </c>
      <c r="BC177" s="12">
        <f>Kontenplan!T179</f>
        <v>4</v>
      </c>
      <c r="BD177" s="170">
        <f>Kontenplan!U179</f>
        <v>4</v>
      </c>
      <c r="BF177" s="24">
        <f ca="1">SUM(AP$7:AP177)</f>
        <v>0</v>
      </c>
      <c r="BG177" s="46">
        <f ca="1">SUM(AQ$7:AQ176)</f>
        <v>0</v>
      </c>
      <c r="BH177" s="24">
        <f t="shared" ca="1" si="122"/>
        <v>0</v>
      </c>
      <c r="BI177" s="24"/>
      <c r="BJ177" s="24">
        <f ca="1">SUM(AX$7:AX177)</f>
        <v>0</v>
      </c>
      <c r="BK177" s="24">
        <f ca="1">SUM(AY$7:AY176)</f>
        <v>0</v>
      </c>
      <c r="BL177" s="24">
        <f t="shared" ca="1" si="123"/>
        <v>0</v>
      </c>
      <c r="BN177" s="24">
        <f ca="1">SUM(AB$7:AB177)</f>
        <v>0</v>
      </c>
      <c r="BO177" s="46">
        <f ca="1">SUM(AC$7:AC176)</f>
        <v>0</v>
      </c>
      <c r="BP177" s="24">
        <f t="shared" ca="1" si="124"/>
        <v>0</v>
      </c>
      <c r="BR177" s="24">
        <f ca="1">SUM(AH$7:AH177)</f>
        <v>0</v>
      </c>
      <c r="BS177" s="46">
        <f ca="1">SUM(AI$7:AI176)</f>
        <v>0</v>
      </c>
      <c r="BT177" s="24">
        <f t="shared" ca="1" si="125"/>
        <v>0</v>
      </c>
    </row>
    <row r="178" spans="1:72" s="12" customFormat="1">
      <c r="A178" s="202">
        <f>Kontenplan!C180</f>
        <v>0</v>
      </c>
      <c r="B178" s="224">
        <f>Kontenplan!E180</f>
        <v>0</v>
      </c>
      <c r="C178" s="225">
        <f>Kontenplan!F180</f>
        <v>0</v>
      </c>
      <c r="D178" s="43">
        <f>IF(B178=0,0,SUMIF(Journal!$F$7:$F$83,Calc!B178,Journal!$I$7:$I$83))</f>
        <v>0</v>
      </c>
      <c r="E178" s="15">
        <f>IF(B178=0,0,SUMIF(Journal!$G$7:$M252,Calc!B178,Journal!$I$7:$I$83))</f>
        <v>0</v>
      </c>
      <c r="F178" s="44">
        <f t="shared" si="89"/>
        <v>0</v>
      </c>
      <c r="G178" s="15">
        <f t="shared" si="90"/>
        <v>0</v>
      </c>
      <c r="H178" s="14" t="str">
        <f t="shared" si="91"/>
        <v xml:space="preserve"> </v>
      </c>
      <c r="I178" s="43" t="str">
        <f t="shared" si="92"/>
        <v xml:space="preserve"> </v>
      </c>
      <c r="J178" s="45" t="str">
        <f t="shared" si="93"/>
        <v xml:space="preserve"> </v>
      </c>
      <c r="K178" s="48" t="str">
        <f t="shared" si="94"/>
        <v xml:space="preserve"> </v>
      </c>
      <c r="L178" s="45" t="str">
        <f t="shared" si="95"/>
        <v xml:space="preserve"> </v>
      </c>
      <c r="M178" s="48" t="str">
        <f t="shared" si="96"/>
        <v xml:space="preserve"> </v>
      </c>
      <c r="N178" s="24"/>
      <c r="O178" s="12">
        <f t="shared" si="97"/>
        <v>10.032399999999924</v>
      </c>
      <c r="P178" s="12">
        <f t="shared" si="98"/>
        <v>9.0305999999999287</v>
      </c>
      <c r="Q178" s="12">
        <f t="shared" si="99"/>
        <v>31.024399999999943</v>
      </c>
      <c r="R178" s="12">
        <f t="shared" si="100"/>
        <v>29.018599999999957</v>
      </c>
      <c r="S178" s="12">
        <f t="shared" si="101"/>
        <v>0</v>
      </c>
      <c r="T178" s="12">
        <f t="shared" si="102"/>
        <v>0</v>
      </c>
      <c r="U178" s="43">
        <f>IF(OR(A178=Kontenplan!$C$3,A178=Kontenplan!$C$5),F178-G178,G178-F178)</f>
        <v>0</v>
      </c>
      <c r="V178" s="171">
        <f t="shared" si="85"/>
        <v>172</v>
      </c>
      <c r="W178" s="12">
        <f t="shared" si="86"/>
        <v>145</v>
      </c>
      <c r="X178" s="12">
        <f t="shared" si="87"/>
        <v>147</v>
      </c>
      <c r="Y178" s="12">
        <f>IF(Z178=0,VLOOKUP(W178,Kontenplan!$Y$9:$AA$551,3),"")</f>
        <v>0</v>
      </c>
      <c r="Z178" s="12">
        <f t="shared" si="103"/>
        <v>0</v>
      </c>
      <c r="AA178" s="12" t="str">
        <f t="shared" ca="1" si="104"/>
        <v/>
      </c>
      <c r="AB178" s="46" t="str">
        <f t="shared" ca="1" si="105"/>
        <v/>
      </c>
      <c r="AC178" s="46" t="str">
        <f t="shared" ca="1" si="106"/>
        <v/>
      </c>
      <c r="AD178" s="47"/>
      <c r="AE178" s="12">
        <f>IF(AF178=0,VLOOKUP(X178,Kontenplan!$Z$9:$AB$551,3),"")</f>
        <v>0</v>
      </c>
      <c r="AF178" s="47">
        <f t="shared" si="107"/>
        <v>0</v>
      </c>
      <c r="AG178" s="12" t="str">
        <f t="shared" ca="1" si="108"/>
        <v/>
      </c>
      <c r="AH178" s="46" t="str">
        <f t="shared" ca="1" si="109"/>
        <v/>
      </c>
      <c r="AI178" s="46" t="str">
        <f t="shared" ca="1" si="110"/>
        <v/>
      </c>
      <c r="AJ178" s="46"/>
      <c r="AK178" s="147">
        <f t="shared" ca="1" si="111"/>
        <v>2.0162000000000342</v>
      </c>
      <c r="AL178" s="147">
        <f t="shared" si="112"/>
        <v>2.0165000000000348</v>
      </c>
      <c r="AM178" s="12" t="str">
        <f>IF(V178&lt;=AO$3,VLOOKUP(V178,Kontenplan!$A$9:$D$278,4),"")</f>
        <v/>
      </c>
      <c r="AN178" s="12">
        <f t="shared" si="113"/>
        <v>0</v>
      </c>
      <c r="AO178" s="12" t="str">
        <f t="shared" ca="1" si="114"/>
        <v/>
      </c>
      <c r="AP178" s="46" t="str">
        <f t="shared" ca="1" si="115"/>
        <v/>
      </c>
      <c r="AQ178" s="46" t="str">
        <f t="shared" ca="1" si="116"/>
        <v/>
      </c>
      <c r="AR178" s="46"/>
      <c r="AS178" s="147">
        <f t="shared" ca="1" si="117"/>
        <v>3.016100000000034</v>
      </c>
      <c r="AT178" s="147">
        <f t="shared" si="118"/>
        <v>2.016600000000035</v>
      </c>
      <c r="AU178" s="47" t="str">
        <f>IF(V178&lt;=AW$3,VLOOKUP(AO$3+V178,Kontenplan!$A$9:$D$278,4),"")</f>
        <v/>
      </c>
      <c r="AV178" s="12">
        <f t="shared" si="119"/>
        <v>0</v>
      </c>
      <c r="AW178" s="12" t="str">
        <f t="shared" ca="1" si="120"/>
        <v/>
      </c>
      <c r="AX178" s="46" t="str">
        <f t="shared" ca="1" si="88"/>
        <v/>
      </c>
      <c r="AY178" s="46" t="str">
        <f t="shared" ca="1" si="121"/>
        <v/>
      </c>
      <c r="BA178" s="12">
        <f>Kontenplan!R180</f>
        <v>3</v>
      </c>
      <c r="BB178" s="12">
        <f>Kontenplan!S180</f>
        <v>2</v>
      </c>
      <c r="BC178" s="12">
        <f>Kontenplan!T180</f>
        <v>4</v>
      </c>
      <c r="BD178" s="170">
        <f>Kontenplan!U180</f>
        <v>4</v>
      </c>
      <c r="BF178" s="24">
        <f ca="1">SUM(AP$7:AP178)</f>
        <v>0</v>
      </c>
      <c r="BG178" s="46">
        <f ca="1">SUM(AQ$7:AQ177)</f>
        <v>0</v>
      </c>
      <c r="BH178" s="24">
        <f t="shared" ca="1" si="122"/>
        <v>0</v>
      </c>
      <c r="BI178" s="24"/>
      <c r="BJ178" s="24">
        <f ca="1">SUM(AX$7:AX178)</f>
        <v>0</v>
      </c>
      <c r="BK178" s="24">
        <f ca="1">SUM(AY$7:AY177)</f>
        <v>0</v>
      </c>
      <c r="BL178" s="24">
        <f t="shared" ca="1" si="123"/>
        <v>0</v>
      </c>
      <c r="BN178" s="24">
        <f ca="1">SUM(AB$7:AB178)</f>
        <v>0</v>
      </c>
      <c r="BO178" s="46">
        <f ca="1">SUM(AC$7:AC177)</f>
        <v>0</v>
      </c>
      <c r="BP178" s="24">
        <f t="shared" ca="1" si="124"/>
        <v>0</v>
      </c>
      <c r="BR178" s="24">
        <f ca="1">SUM(AH$7:AH178)</f>
        <v>0</v>
      </c>
      <c r="BS178" s="46">
        <f ca="1">SUM(AI$7:AI177)</f>
        <v>0</v>
      </c>
      <c r="BT178" s="24">
        <f t="shared" ca="1" si="125"/>
        <v>0</v>
      </c>
    </row>
    <row r="179" spans="1:72" s="12" customFormat="1">
      <c r="A179" s="202">
        <f>Kontenplan!C181</f>
        <v>0</v>
      </c>
      <c r="B179" s="224">
        <f>Kontenplan!E181</f>
        <v>0</v>
      </c>
      <c r="C179" s="225">
        <f>Kontenplan!F181</f>
        <v>0</v>
      </c>
      <c r="D179" s="43">
        <f>IF(B179=0,0,SUMIF(Journal!$F$7:$F$83,Calc!B179,Journal!$I$7:$I$83))</f>
        <v>0</v>
      </c>
      <c r="E179" s="15">
        <f>IF(B179=0,0,SUMIF(Journal!$G$7:$M253,Calc!B179,Journal!$I$7:$I$83))</f>
        <v>0</v>
      </c>
      <c r="F179" s="44">
        <f t="shared" si="89"/>
        <v>0</v>
      </c>
      <c r="G179" s="15">
        <f t="shared" si="90"/>
        <v>0</v>
      </c>
      <c r="H179" s="14" t="str">
        <f t="shared" si="91"/>
        <v xml:space="preserve"> </v>
      </c>
      <c r="I179" s="43" t="str">
        <f t="shared" si="92"/>
        <v xml:space="preserve"> </v>
      </c>
      <c r="J179" s="45" t="str">
        <f t="shared" si="93"/>
        <v xml:space="preserve"> </v>
      </c>
      <c r="K179" s="48" t="str">
        <f t="shared" si="94"/>
        <v xml:space="preserve"> </v>
      </c>
      <c r="L179" s="45" t="str">
        <f t="shared" si="95"/>
        <v xml:space="preserve"> </v>
      </c>
      <c r="M179" s="48" t="str">
        <f t="shared" si="96"/>
        <v xml:space="preserve"> </v>
      </c>
      <c r="N179" s="24"/>
      <c r="O179" s="12">
        <f t="shared" si="97"/>
        <v>10.032599999999924</v>
      </c>
      <c r="P179" s="12">
        <f t="shared" si="98"/>
        <v>9.0307999999999282</v>
      </c>
      <c r="Q179" s="12">
        <f t="shared" si="99"/>
        <v>31.024599999999943</v>
      </c>
      <c r="R179" s="12">
        <f t="shared" si="100"/>
        <v>29.018799999999956</v>
      </c>
      <c r="S179" s="12">
        <f t="shared" si="101"/>
        <v>0</v>
      </c>
      <c r="T179" s="12">
        <f t="shared" si="102"/>
        <v>0</v>
      </c>
      <c r="U179" s="43">
        <f>IF(OR(A179=Kontenplan!$C$3,A179=Kontenplan!$C$5),F179-G179,G179-F179)</f>
        <v>0</v>
      </c>
      <c r="V179" s="171">
        <f t="shared" si="85"/>
        <v>173</v>
      </c>
      <c r="W179" s="12">
        <f t="shared" si="86"/>
        <v>146</v>
      </c>
      <c r="X179" s="12">
        <f t="shared" si="87"/>
        <v>148</v>
      </c>
      <c r="Y179" s="12">
        <f>IF(Z179=0,VLOOKUP(W179,Kontenplan!$Y$9:$AA$551,3),"")</f>
        <v>0</v>
      </c>
      <c r="Z179" s="12">
        <f t="shared" si="103"/>
        <v>0</v>
      </c>
      <c r="AA179" s="12" t="str">
        <f t="shared" ca="1" si="104"/>
        <v/>
      </c>
      <c r="AB179" s="46" t="str">
        <f t="shared" ca="1" si="105"/>
        <v/>
      </c>
      <c r="AC179" s="46" t="str">
        <f t="shared" ca="1" si="106"/>
        <v/>
      </c>
      <c r="AD179" s="47"/>
      <c r="AE179" s="12">
        <f>IF(AF179=0,VLOOKUP(X179,Kontenplan!$Z$9:$AB$551,3),"")</f>
        <v>0</v>
      </c>
      <c r="AF179" s="47">
        <f t="shared" si="107"/>
        <v>0</v>
      </c>
      <c r="AG179" s="12" t="str">
        <f t="shared" ca="1" si="108"/>
        <v/>
      </c>
      <c r="AH179" s="46" t="str">
        <f t="shared" ca="1" si="109"/>
        <v/>
      </c>
      <c r="AI179" s="46" t="str">
        <f t="shared" ca="1" si="110"/>
        <v/>
      </c>
      <c r="AJ179" s="46"/>
      <c r="AK179" s="147">
        <f t="shared" ca="1" si="111"/>
        <v>2.0163000000000344</v>
      </c>
      <c r="AL179" s="147">
        <f t="shared" si="112"/>
        <v>2.016600000000035</v>
      </c>
      <c r="AM179" s="12" t="str">
        <f>IF(V179&lt;=AO$3,VLOOKUP(V179,Kontenplan!$A$9:$D$278,4),"")</f>
        <v/>
      </c>
      <c r="AN179" s="12">
        <f t="shared" si="113"/>
        <v>0</v>
      </c>
      <c r="AO179" s="12" t="str">
        <f t="shared" ca="1" si="114"/>
        <v/>
      </c>
      <c r="AP179" s="46" t="str">
        <f t="shared" ca="1" si="115"/>
        <v/>
      </c>
      <c r="AQ179" s="46" t="str">
        <f t="shared" ca="1" si="116"/>
        <v/>
      </c>
      <c r="AR179" s="46"/>
      <c r="AS179" s="147">
        <f t="shared" ca="1" si="117"/>
        <v>3.0162000000000342</v>
      </c>
      <c r="AT179" s="147">
        <f t="shared" si="118"/>
        <v>2.0167000000000352</v>
      </c>
      <c r="AU179" s="47" t="str">
        <f>IF(V179&lt;=AW$3,VLOOKUP(AO$3+V179,Kontenplan!$A$9:$D$278,4),"")</f>
        <v/>
      </c>
      <c r="AV179" s="12">
        <f t="shared" si="119"/>
        <v>0</v>
      </c>
      <c r="AW179" s="12" t="str">
        <f t="shared" ca="1" si="120"/>
        <v/>
      </c>
      <c r="AX179" s="46" t="str">
        <f t="shared" ca="1" si="88"/>
        <v/>
      </c>
      <c r="AY179" s="46" t="str">
        <f t="shared" ca="1" si="121"/>
        <v/>
      </c>
      <c r="BA179" s="12">
        <f>Kontenplan!R181</f>
        <v>3</v>
      </c>
      <c r="BB179" s="12">
        <f>Kontenplan!S181</f>
        <v>2</v>
      </c>
      <c r="BC179" s="12">
        <f>Kontenplan!T181</f>
        <v>4</v>
      </c>
      <c r="BD179" s="170">
        <f>Kontenplan!U181</f>
        <v>4</v>
      </c>
      <c r="BF179" s="24">
        <f ca="1">SUM(AP$7:AP179)</f>
        <v>0</v>
      </c>
      <c r="BG179" s="46">
        <f ca="1">SUM(AQ$7:AQ178)</f>
        <v>0</v>
      </c>
      <c r="BH179" s="24">
        <f t="shared" ca="1" si="122"/>
        <v>0</v>
      </c>
      <c r="BI179" s="24"/>
      <c r="BJ179" s="24">
        <f ca="1">SUM(AX$7:AX179)</f>
        <v>0</v>
      </c>
      <c r="BK179" s="24">
        <f ca="1">SUM(AY$7:AY178)</f>
        <v>0</v>
      </c>
      <c r="BL179" s="24">
        <f t="shared" ca="1" si="123"/>
        <v>0</v>
      </c>
      <c r="BN179" s="24">
        <f ca="1">SUM(AB$7:AB179)</f>
        <v>0</v>
      </c>
      <c r="BO179" s="46">
        <f ca="1">SUM(AC$7:AC178)</f>
        <v>0</v>
      </c>
      <c r="BP179" s="24">
        <f t="shared" ca="1" si="124"/>
        <v>0</v>
      </c>
      <c r="BR179" s="24">
        <f ca="1">SUM(AH$7:AH179)</f>
        <v>0</v>
      </c>
      <c r="BS179" s="46">
        <f ca="1">SUM(AI$7:AI178)</f>
        <v>0</v>
      </c>
      <c r="BT179" s="24">
        <f t="shared" ca="1" si="125"/>
        <v>0</v>
      </c>
    </row>
    <row r="180" spans="1:72" s="12" customFormat="1">
      <c r="A180" s="202">
        <f>Kontenplan!C182</f>
        <v>0</v>
      </c>
      <c r="B180" s="224">
        <f>Kontenplan!E182</f>
        <v>0</v>
      </c>
      <c r="C180" s="225">
        <f>Kontenplan!F182</f>
        <v>0</v>
      </c>
      <c r="D180" s="43">
        <f>IF(B180=0,0,SUMIF(Journal!$F$7:$F$83,Calc!B180,Journal!$I$7:$I$83))</f>
        <v>0</v>
      </c>
      <c r="E180" s="15">
        <f>IF(B180=0,0,SUMIF(Journal!$G$7:$M254,Calc!B180,Journal!$I$7:$I$83))</f>
        <v>0</v>
      </c>
      <c r="F180" s="44">
        <f t="shared" si="89"/>
        <v>0</v>
      </c>
      <c r="G180" s="15">
        <f t="shared" si="90"/>
        <v>0</v>
      </c>
      <c r="H180" s="14" t="str">
        <f t="shared" si="91"/>
        <v xml:space="preserve"> </v>
      </c>
      <c r="I180" s="43" t="str">
        <f t="shared" si="92"/>
        <v xml:space="preserve"> </v>
      </c>
      <c r="J180" s="45" t="str">
        <f t="shared" si="93"/>
        <v xml:space="preserve"> </v>
      </c>
      <c r="K180" s="48" t="str">
        <f t="shared" si="94"/>
        <v xml:space="preserve"> </v>
      </c>
      <c r="L180" s="45" t="str">
        <f t="shared" si="95"/>
        <v xml:space="preserve"> </v>
      </c>
      <c r="M180" s="48" t="str">
        <f t="shared" si="96"/>
        <v xml:space="preserve"> </v>
      </c>
      <c r="N180" s="24"/>
      <c r="O180" s="12">
        <f t="shared" si="97"/>
        <v>10.032799999999924</v>
      </c>
      <c r="P180" s="12">
        <f t="shared" si="98"/>
        <v>9.0309999999999278</v>
      </c>
      <c r="Q180" s="12">
        <f t="shared" si="99"/>
        <v>31.024799999999942</v>
      </c>
      <c r="R180" s="12">
        <f t="shared" si="100"/>
        <v>29.018999999999956</v>
      </c>
      <c r="S180" s="12">
        <f t="shared" si="101"/>
        <v>0</v>
      </c>
      <c r="T180" s="12">
        <f t="shared" si="102"/>
        <v>0</v>
      </c>
      <c r="U180" s="43">
        <f>IF(OR(A180=Kontenplan!$C$3,A180=Kontenplan!$C$5),F180-G180,G180-F180)</f>
        <v>0</v>
      </c>
      <c r="V180" s="171">
        <f t="shared" si="85"/>
        <v>174</v>
      </c>
      <c r="W180" s="12">
        <f t="shared" si="86"/>
        <v>147</v>
      </c>
      <c r="X180" s="12">
        <f t="shared" si="87"/>
        <v>149</v>
      </c>
      <c r="Y180" s="12">
        <f>IF(Z180=0,VLOOKUP(W180,Kontenplan!$Y$9:$AA$551,3),"")</f>
        <v>0</v>
      </c>
      <c r="Z180" s="12">
        <f t="shared" si="103"/>
        <v>0</v>
      </c>
      <c r="AA180" s="12" t="str">
        <f t="shared" ca="1" si="104"/>
        <v/>
      </c>
      <c r="AB180" s="46" t="str">
        <f t="shared" ca="1" si="105"/>
        <v/>
      </c>
      <c r="AC180" s="46" t="str">
        <f t="shared" ca="1" si="106"/>
        <v/>
      </c>
      <c r="AD180" s="47"/>
      <c r="AE180" s="12">
        <f>IF(AF180=0,VLOOKUP(X180,Kontenplan!$Z$9:$AB$551,3),"")</f>
        <v>0</v>
      </c>
      <c r="AF180" s="47">
        <f t="shared" si="107"/>
        <v>0</v>
      </c>
      <c r="AG180" s="12" t="str">
        <f t="shared" ca="1" si="108"/>
        <v/>
      </c>
      <c r="AH180" s="46" t="str">
        <f t="shared" ca="1" si="109"/>
        <v/>
      </c>
      <c r="AI180" s="46" t="str">
        <f t="shared" ca="1" si="110"/>
        <v/>
      </c>
      <c r="AJ180" s="46"/>
      <c r="AK180" s="147">
        <f t="shared" ca="1" si="111"/>
        <v>2.0164000000000346</v>
      </c>
      <c r="AL180" s="147">
        <f t="shared" si="112"/>
        <v>2.0167000000000352</v>
      </c>
      <c r="AM180" s="12" t="str">
        <f>IF(V180&lt;=AO$3,VLOOKUP(V180,Kontenplan!$A$9:$D$278,4),"")</f>
        <v/>
      </c>
      <c r="AN180" s="12">
        <f t="shared" si="113"/>
        <v>0</v>
      </c>
      <c r="AO180" s="12" t="str">
        <f t="shared" ca="1" si="114"/>
        <v/>
      </c>
      <c r="AP180" s="46" t="str">
        <f t="shared" ca="1" si="115"/>
        <v/>
      </c>
      <c r="AQ180" s="46" t="str">
        <f t="shared" ca="1" si="116"/>
        <v/>
      </c>
      <c r="AR180" s="46"/>
      <c r="AS180" s="147">
        <f t="shared" ca="1" si="117"/>
        <v>3.0163000000000344</v>
      </c>
      <c r="AT180" s="147">
        <f t="shared" si="118"/>
        <v>2.0168000000000355</v>
      </c>
      <c r="AU180" s="47" t="str">
        <f>IF(V180&lt;=AW$3,VLOOKUP(AO$3+V180,Kontenplan!$A$9:$D$278,4),"")</f>
        <v/>
      </c>
      <c r="AV180" s="12">
        <f t="shared" si="119"/>
        <v>0</v>
      </c>
      <c r="AW180" s="12" t="str">
        <f t="shared" ca="1" si="120"/>
        <v/>
      </c>
      <c r="AX180" s="46" t="str">
        <f t="shared" ca="1" si="88"/>
        <v/>
      </c>
      <c r="AY180" s="46" t="str">
        <f t="shared" ca="1" si="121"/>
        <v/>
      </c>
      <c r="BA180" s="12">
        <f>Kontenplan!R182</f>
        <v>3</v>
      </c>
      <c r="BB180" s="12">
        <f>Kontenplan!S182</f>
        <v>2</v>
      </c>
      <c r="BC180" s="12">
        <f>Kontenplan!T182</f>
        <v>4</v>
      </c>
      <c r="BD180" s="170">
        <f>Kontenplan!U182</f>
        <v>4</v>
      </c>
      <c r="BF180" s="24">
        <f ca="1">SUM(AP$7:AP180)</f>
        <v>0</v>
      </c>
      <c r="BG180" s="46">
        <f ca="1">SUM(AQ$7:AQ179)</f>
        <v>0</v>
      </c>
      <c r="BH180" s="24">
        <f t="shared" ca="1" si="122"/>
        <v>0</v>
      </c>
      <c r="BI180" s="24"/>
      <c r="BJ180" s="24">
        <f ca="1">SUM(AX$7:AX180)</f>
        <v>0</v>
      </c>
      <c r="BK180" s="24">
        <f ca="1">SUM(AY$7:AY179)</f>
        <v>0</v>
      </c>
      <c r="BL180" s="24">
        <f t="shared" ca="1" si="123"/>
        <v>0</v>
      </c>
      <c r="BN180" s="24">
        <f ca="1">SUM(AB$7:AB180)</f>
        <v>0</v>
      </c>
      <c r="BO180" s="46">
        <f ca="1">SUM(AC$7:AC179)</f>
        <v>0</v>
      </c>
      <c r="BP180" s="24">
        <f t="shared" ca="1" si="124"/>
        <v>0</v>
      </c>
      <c r="BR180" s="24">
        <f ca="1">SUM(AH$7:AH180)</f>
        <v>0</v>
      </c>
      <c r="BS180" s="46">
        <f ca="1">SUM(AI$7:AI179)</f>
        <v>0</v>
      </c>
      <c r="BT180" s="24">
        <f t="shared" ca="1" si="125"/>
        <v>0</v>
      </c>
    </row>
    <row r="181" spans="1:72" s="12" customFormat="1">
      <c r="A181" s="202">
        <f>Kontenplan!C183</f>
        <v>0</v>
      </c>
      <c r="B181" s="224">
        <f>Kontenplan!E183</f>
        <v>0</v>
      </c>
      <c r="C181" s="225">
        <f>Kontenplan!F183</f>
        <v>0</v>
      </c>
      <c r="D181" s="43">
        <f>IF(B181=0,0,SUMIF(Journal!$F$7:$F$83,Calc!B181,Journal!$I$7:$I$83))</f>
        <v>0</v>
      </c>
      <c r="E181" s="15">
        <f>IF(B181=0,0,SUMIF(Journal!$G$7:$M255,Calc!B181,Journal!$I$7:$I$83))</f>
        <v>0</v>
      </c>
      <c r="F181" s="44">
        <f t="shared" si="89"/>
        <v>0</v>
      </c>
      <c r="G181" s="15">
        <f t="shared" si="90"/>
        <v>0</v>
      </c>
      <c r="H181" s="14" t="str">
        <f t="shared" si="91"/>
        <v xml:space="preserve"> </v>
      </c>
      <c r="I181" s="43" t="str">
        <f t="shared" si="92"/>
        <v xml:space="preserve"> </v>
      </c>
      <c r="J181" s="45" t="str">
        <f t="shared" si="93"/>
        <v xml:space="preserve"> </v>
      </c>
      <c r="K181" s="48" t="str">
        <f t="shared" si="94"/>
        <v xml:space="preserve"> </v>
      </c>
      <c r="L181" s="45" t="str">
        <f t="shared" si="95"/>
        <v xml:space="preserve"> </v>
      </c>
      <c r="M181" s="48" t="str">
        <f t="shared" si="96"/>
        <v xml:space="preserve"> </v>
      </c>
      <c r="N181" s="24"/>
      <c r="O181" s="12">
        <f t="shared" si="97"/>
        <v>10.032999999999923</v>
      </c>
      <c r="P181" s="12">
        <f t="shared" si="98"/>
        <v>9.0311999999999273</v>
      </c>
      <c r="Q181" s="12">
        <f t="shared" si="99"/>
        <v>31.024999999999942</v>
      </c>
      <c r="R181" s="12">
        <f t="shared" si="100"/>
        <v>29.019199999999955</v>
      </c>
      <c r="S181" s="12">
        <f t="shared" si="101"/>
        <v>0</v>
      </c>
      <c r="T181" s="12">
        <f t="shared" si="102"/>
        <v>0</v>
      </c>
      <c r="U181" s="43">
        <f>IF(OR(A181=Kontenplan!$C$3,A181=Kontenplan!$C$5),F181-G181,G181-F181)</f>
        <v>0</v>
      </c>
      <c r="V181" s="171">
        <f t="shared" si="85"/>
        <v>175</v>
      </c>
      <c r="W181" s="12">
        <f t="shared" si="86"/>
        <v>148</v>
      </c>
      <c r="X181" s="12">
        <f t="shared" si="87"/>
        <v>150</v>
      </c>
      <c r="Y181" s="12">
        <f>IF(Z181=0,VLOOKUP(W181,Kontenplan!$Y$9:$AA$551,3),"")</f>
        <v>0</v>
      </c>
      <c r="Z181" s="12">
        <f t="shared" si="103"/>
        <v>0</v>
      </c>
      <c r="AA181" s="12" t="str">
        <f t="shared" ca="1" si="104"/>
        <v/>
      </c>
      <c r="AB181" s="46" t="str">
        <f t="shared" ca="1" si="105"/>
        <v/>
      </c>
      <c r="AC181" s="46" t="str">
        <f t="shared" ca="1" si="106"/>
        <v/>
      </c>
      <c r="AD181" s="47"/>
      <c r="AE181" s="12">
        <f>IF(AF181=0,VLOOKUP(X181,Kontenplan!$Z$9:$AB$551,3),"")</f>
        <v>0</v>
      </c>
      <c r="AF181" s="47">
        <f t="shared" si="107"/>
        <v>0</v>
      </c>
      <c r="AG181" s="12" t="str">
        <f t="shared" ca="1" si="108"/>
        <v/>
      </c>
      <c r="AH181" s="46" t="str">
        <f t="shared" ca="1" si="109"/>
        <v/>
      </c>
      <c r="AI181" s="46" t="str">
        <f t="shared" ca="1" si="110"/>
        <v/>
      </c>
      <c r="AJ181" s="46"/>
      <c r="AK181" s="147">
        <f t="shared" ca="1" si="111"/>
        <v>2.0165000000000348</v>
      </c>
      <c r="AL181" s="147">
        <f t="shared" si="112"/>
        <v>2.0168000000000355</v>
      </c>
      <c r="AM181" s="12" t="str">
        <f>IF(V181&lt;=AO$3,VLOOKUP(V181,Kontenplan!$A$9:$D$278,4),"")</f>
        <v/>
      </c>
      <c r="AN181" s="12">
        <f t="shared" si="113"/>
        <v>0</v>
      </c>
      <c r="AO181" s="12" t="str">
        <f t="shared" ca="1" si="114"/>
        <v/>
      </c>
      <c r="AP181" s="46" t="str">
        <f t="shared" ca="1" si="115"/>
        <v/>
      </c>
      <c r="AQ181" s="46" t="str">
        <f t="shared" ca="1" si="116"/>
        <v/>
      </c>
      <c r="AR181" s="46"/>
      <c r="AS181" s="147">
        <f t="shared" ca="1" si="117"/>
        <v>3.0164000000000346</v>
      </c>
      <c r="AT181" s="147">
        <f t="shared" si="118"/>
        <v>2.0169000000000357</v>
      </c>
      <c r="AU181" s="47" t="str">
        <f>IF(V181&lt;=AW$3,VLOOKUP(AO$3+V181,Kontenplan!$A$9:$D$278,4),"")</f>
        <v/>
      </c>
      <c r="AV181" s="12">
        <f t="shared" si="119"/>
        <v>0</v>
      </c>
      <c r="AW181" s="12" t="str">
        <f t="shared" ca="1" si="120"/>
        <v/>
      </c>
      <c r="AX181" s="46" t="str">
        <f t="shared" ca="1" si="88"/>
        <v/>
      </c>
      <c r="AY181" s="46" t="str">
        <f t="shared" ca="1" si="121"/>
        <v/>
      </c>
      <c r="BA181" s="12">
        <f>Kontenplan!R183</f>
        <v>3</v>
      </c>
      <c r="BB181" s="12">
        <f>Kontenplan!S183</f>
        <v>2</v>
      </c>
      <c r="BC181" s="12">
        <f>Kontenplan!T183</f>
        <v>4</v>
      </c>
      <c r="BD181" s="170">
        <f>Kontenplan!U183</f>
        <v>4</v>
      </c>
      <c r="BF181" s="24">
        <f ca="1">SUM(AP$7:AP181)</f>
        <v>0</v>
      </c>
      <c r="BG181" s="46">
        <f ca="1">SUM(AQ$7:AQ180)</f>
        <v>0</v>
      </c>
      <c r="BH181" s="24">
        <f t="shared" ca="1" si="122"/>
        <v>0</v>
      </c>
      <c r="BI181" s="24"/>
      <c r="BJ181" s="24">
        <f ca="1">SUM(AX$7:AX181)</f>
        <v>0</v>
      </c>
      <c r="BK181" s="24">
        <f ca="1">SUM(AY$7:AY180)</f>
        <v>0</v>
      </c>
      <c r="BL181" s="24">
        <f t="shared" ca="1" si="123"/>
        <v>0</v>
      </c>
      <c r="BN181" s="24">
        <f ca="1">SUM(AB$7:AB181)</f>
        <v>0</v>
      </c>
      <c r="BO181" s="46">
        <f ca="1">SUM(AC$7:AC180)</f>
        <v>0</v>
      </c>
      <c r="BP181" s="24">
        <f t="shared" ca="1" si="124"/>
        <v>0</v>
      </c>
      <c r="BR181" s="24">
        <f ca="1">SUM(AH$7:AH181)</f>
        <v>0</v>
      </c>
      <c r="BS181" s="46">
        <f ca="1">SUM(AI$7:AI180)</f>
        <v>0</v>
      </c>
      <c r="BT181" s="24">
        <f t="shared" ca="1" si="125"/>
        <v>0</v>
      </c>
    </row>
    <row r="182" spans="1:72" s="12" customFormat="1">
      <c r="A182" s="202">
        <f>Kontenplan!C184</f>
        <v>0</v>
      </c>
      <c r="B182" s="224">
        <f>Kontenplan!E184</f>
        <v>0</v>
      </c>
      <c r="C182" s="225">
        <f>Kontenplan!F184</f>
        <v>0</v>
      </c>
      <c r="D182" s="43">
        <f>IF(B182=0,0,SUMIF(Journal!$F$7:$F$83,Calc!B182,Journal!$I$7:$I$83))</f>
        <v>0</v>
      </c>
      <c r="E182" s="15">
        <f>IF(B182=0,0,SUMIF(Journal!$G$7:$M256,Calc!B182,Journal!$I$7:$I$83))</f>
        <v>0</v>
      </c>
      <c r="F182" s="44">
        <f t="shared" si="89"/>
        <v>0</v>
      </c>
      <c r="G182" s="15">
        <f t="shared" si="90"/>
        <v>0</v>
      </c>
      <c r="H182" s="14" t="str">
        <f t="shared" si="91"/>
        <v xml:space="preserve"> </v>
      </c>
      <c r="I182" s="43" t="str">
        <f t="shared" si="92"/>
        <v xml:space="preserve"> </v>
      </c>
      <c r="J182" s="45" t="str">
        <f t="shared" si="93"/>
        <v xml:space="preserve"> </v>
      </c>
      <c r="K182" s="48" t="str">
        <f t="shared" si="94"/>
        <v xml:space="preserve"> </v>
      </c>
      <c r="L182" s="45" t="str">
        <f t="shared" si="95"/>
        <v xml:space="preserve"> </v>
      </c>
      <c r="M182" s="48" t="str">
        <f t="shared" si="96"/>
        <v xml:space="preserve"> </v>
      </c>
      <c r="N182" s="24"/>
      <c r="O182" s="12">
        <f t="shared" si="97"/>
        <v>10.033199999999923</v>
      </c>
      <c r="P182" s="12">
        <f t="shared" si="98"/>
        <v>9.0313999999999268</v>
      </c>
      <c r="Q182" s="12">
        <f t="shared" si="99"/>
        <v>31.025199999999941</v>
      </c>
      <c r="R182" s="12">
        <f t="shared" si="100"/>
        <v>29.019399999999955</v>
      </c>
      <c r="S182" s="12">
        <f t="shared" si="101"/>
        <v>0</v>
      </c>
      <c r="T182" s="12">
        <f t="shared" si="102"/>
        <v>0</v>
      </c>
      <c r="U182" s="43">
        <f>IF(OR(A182=Kontenplan!$C$3,A182=Kontenplan!$C$5),F182-G182,G182-F182)</f>
        <v>0</v>
      </c>
      <c r="V182" s="171">
        <f t="shared" si="85"/>
        <v>176</v>
      </c>
      <c r="W182" s="12">
        <f t="shared" si="86"/>
        <v>149</v>
      </c>
      <c r="X182" s="12">
        <f t="shared" si="87"/>
        <v>151</v>
      </c>
      <c r="Y182" s="12">
        <f>IF(Z182=0,VLOOKUP(W182,Kontenplan!$Y$9:$AA$551,3),"")</f>
        <v>0</v>
      </c>
      <c r="Z182" s="12">
        <f t="shared" si="103"/>
        <v>0</v>
      </c>
      <c r="AA182" s="12" t="str">
        <f t="shared" ca="1" si="104"/>
        <v/>
      </c>
      <c r="AB182" s="46" t="str">
        <f t="shared" ca="1" si="105"/>
        <v/>
      </c>
      <c r="AC182" s="46" t="str">
        <f t="shared" ca="1" si="106"/>
        <v/>
      </c>
      <c r="AD182" s="47"/>
      <c r="AE182" s="12">
        <f>IF(AF182=0,VLOOKUP(X182,Kontenplan!$Z$9:$AB$551,3),"")</f>
        <v>0</v>
      </c>
      <c r="AF182" s="47">
        <f t="shared" si="107"/>
        <v>0</v>
      </c>
      <c r="AG182" s="12" t="str">
        <f t="shared" ca="1" si="108"/>
        <v/>
      </c>
      <c r="AH182" s="46" t="str">
        <f t="shared" ca="1" si="109"/>
        <v/>
      </c>
      <c r="AI182" s="46" t="str">
        <f t="shared" ca="1" si="110"/>
        <v/>
      </c>
      <c r="AJ182" s="46"/>
      <c r="AK182" s="147">
        <f t="shared" ca="1" si="111"/>
        <v>2.016600000000035</v>
      </c>
      <c r="AL182" s="147">
        <f t="shared" si="112"/>
        <v>2.0169000000000357</v>
      </c>
      <c r="AM182" s="12" t="str">
        <f>IF(V182&lt;=AO$3,VLOOKUP(V182,Kontenplan!$A$9:$D$278,4),"")</f>
        <v/>
      </c>
      <c r="AN182" s="12">
        <f t="shared" si="113"/>
        <v>0</v>
      </c>
      <c r="AO182" s="12" t="str">
        <f t="shared" ca="1" si="114"/>
        <v/>
      </c>
      <c r="AP182" s="46" t="str">
        <f t="shared" ca="1" si="115"/>
        <v/>
      </c>
      <c r="AQ182" s="46" t="str">
        <f t="shared" ca="1" si="116"/>
        <v/>
      </c>
      <c r="AR182" s="46"/>
      <c r="AS182" s="147">
        <f t="shared" ca="1" si="117"/>
        <v>3.0165000000000348</v>
      </c>
      <c r="AT182" s="147">
        <f t="shared" si="118"/>
        <v>2.0170000000000359</v>
      </c>
      <c r="AU182" s="47" t="str">
        <f>IF(V182&lt;=AW$3,VLOOKUP(AO$3+V182,Kontenplan!$A$9:$D$278,4),"")</f>
        <v/>
      </c>
      <c r="AV182" s="12">
        <f t="shared" si="119"/>
        <v>0</v>
      </c>
      <c r="AW182" s="12" t="str">
        <f t="shared" ca="1" si="120"/>
        <v/>
      </c>
      <c r="AX182" s="46" t="str">
        <f t="shared" ca="1" si="88"/>
        <v/>
      </c>
      <c r="AY182" s="46" t="str">
        <f t="shared" ca="1" si="121"/>
        <v/>
      </c>
      <c r="BA182" s="12">
        <f>Kontenplan!R184</f>
        <v>3</v>
      </c>
      <c r="BB182" s="12">
        <f>Kontenplan!S184</f>
        <v>2</v>
      </c>
      <c r="BC182" s="12">
        <f>Kontenplan!T184</f>
        <v>4</v>
      </c>
      <c r="BD182" s="170">
        <f>Kontenplan!U184</f>
        <v>4</v>
      </c>
      <c r="BF182" s="24">
        <f ca="1">SUM(AP$7:AP182)</f>
        <v>0</v>
      </c>
      <c r="BG182" s="46">
        <f ca="1">SUM(AQ$7:AQ181)</f>
        <v>0</v>
      </c>
      <c r="BH182" s="24">
        <f t="shared" ca="1" si="122"/>
        <v>0</v>
      </c>
      <c r="BI182" s="24"/>
      <c r="BJ182" s="24">
        <f ca="1">SUM(AX$7:AX182)</f>
        <v>0</v>
      </c>
      <c r="BK182" s="24">
        <f ca="1">SUM(AY$7:AY181)</f>
        <v>0</v>
      </c>
      <c r="BL182" s="24">
        <f t="shared" ca="1" si="123"/>
        <v>0</v>
      </c>
      <c r="BN182" s="24">
        <f ca="1">SUM(AB$7:AB182)</f>
        <v>0</v>
      </c>
      <c r="BO182" s="46">
        <f ca="1">SUM(AC$7:AC181)</f>
        <v>0</v>
      </c>
      <c r="BP182" s="24">
        <f t="shared" ca="1" si="124"/>
        <v>0</v>
      </c>
      <c r="BR182" s="24">
        <f ca="1">SUM(AH$7:AH182)</f>
        <v>0</v>
      </c>
      <c r="BS182" s="46">
        <f ca="1">SUM(AI$7:AI181)</f>
        <v>0</v>
      </c>
      <c r="BT182" s="24">
        <f t="shared" ca="1" si="125"/>
        <v>0</v>
      </c>
    </row>
    <row r="183" spans="1:72" s="12" customFormat="1">
      <c r="A183" s="202">
        <f>Kontenplan!C185</f>
        <v>0</v>
      </c>
      <c r="B183" s="224">
        <f>Kontenplan!E185</f>
        <v>0</v>
      </c>
      <c r="C183" s="225">
        <f>Kontenplan!F185</f>
        <v>0</v>
      </c>
      <c r="D183" s="43">
        <f>IF(B183=0,0,SUMIF(Journal!$F$7:$F$83,Calc!B183,Journal!$I$7:$I$83))</f>
        <v>0</v>
      </c>
      <c r="E183" s="15">
        <f>IF(B183=0,0,SUMIF(Journal!$G$7:$M257,Calc!B183,Journal!$I$7:$I$83))</f>
        <v>0</v>
      </c>
      <c r="F183" s="44">
        <f t="shared" si="89"/>
        <v>0</v>
      </c>
      <c r="G183" s="15">
        <f t="shared" si="90"/>
        <v>0</v>
      </c>
      <c r="H183" s="14" t="str">
        <f t="shared" si="91"/>
        <v xml:space="preserve"> </v>
      </c>
      <c r="I183" s="43" t="str">
        <f t="shared" si="92"/>
        <v xml:space="preserve"> </v>
      </c>
      <c r="J183" s="45" t="str">
        <f t="shared" si="93"/>
        <v xml:space="preserve"> </v>
      </c>
      <c r="K183" s="48" t="str">
        <f t="shared" si="94"/>
        <v xml:space="preserve"> </v>
      </c>
      <c r="L183" s="45" t="str">
        <f t="shared" si="95"/>
        <v xml:space="preserve"> </v>
      </c>
      <c r="M183" s="48" t="str">
        <f t="shared" si="96"/>
        <v xml:space="preserve"> </v>
      </c>
      <c r="N183" s="24"/>
      <c r="O183" s="12">
        <f t="shared" si="97"/>
        <v>10.033399999999922</v>
      </c>
      <c r="P183" s="12">
        <f t="shared" si="98"/>
        <v>9.0315999999999264</v>
      </c>
      <c r="Q183" s="12">
        <f t="shared" si="99"/>
        <v>31.025399999999941</v>
      </c>
      <c r="R183" s="12">
        <f t="shared" si="100"/>
        <v>29.019599999999954</v>
      </c>
      <c r="S183" s="12">
        <f t="shared" si="101"/>
        <v>0</v>
      </c>
      <c r="T183" s="12">
        <f t="shared" si="102"/>
        <v>0</v>
      </c>
      <c r="U183" s="43">
        <f>IF(OR(A183=Kontenplan!$C$3,A183=Kontenplan!$C$5),F183-G183,G183-F183)</f>
        <v>0</v>
      </c>
      <c r="V183" s="171">
        <f t="shared" si="85"/>
        <v>177</v>
      </c>
      <c r="W183" s="12">
        <f t="shared" si="86"/>
        <v>150</v>
      </c>
      <c r="X183" s="12">
        <f t="shared" si="87"/>
        <v>152</v>
      </c>
      <c r="Y183" s="12">
        <f>IF(Z183=0,VLOOKUP(W183,Kontenplan!$Y$9:$AA$551,3),"")</f>
        <v>0</v>
      </c>
      <c r="Z183" s="12">
        <f t="shared" si="103"/>
        <v>0</v>
      </c>
      <c r="AA183" s="12" t="str">
        <f t="shared" ca="1" si="104"/>
        <v/>
      </c>
      <c r="AB183" s="46" t="str">
        <f t="shared" ca="1" si="105"/>
        <v/>
      </c>
      <c r="AC183" s="46" t="str">
        <f t="shared" ca="1" si="106"/>
        <v/>
      </c>
      <c r="AD183" s="47"/>
      <c r="AE183" s="12">
        <f>IF(AF183=0,VLOOKUP(X183,Kontenplan!$Z$9:$AB$551,3),"")</f>
        <v>0</v>
      </c>
      <c r="AF183" s="47">
        <f t="shared" si="107"/>
        <v>0</v>
      </c>
      <c r="AG183" s="12" t="str">
        <f t="shared" ca="1" si="108"/>
        <v/>
      </c>
      <c r="AH183" s="46" t="str">
        <f t="shared" ca="1" si="109"/>
        <v/>
      </c>
      <c r="AI183" s="46" t="str">
        <f t="shared" ca="1" si="110"/>
        <v/>
      </c>
      <c r="AJ183" s="46"/>
      <c r="AK183" s="147">
        <f t="shared" ca="1" si="111"/>
        <v>2.0167000000000352</v>
      </c>
      <c r="AL183" s="147">
        <f t="shared" si="112"/>
        <v>2.0170000000000359</v>
      </c>
      <c r="AM183" s="12" t="str">
        <f>IF(V183&lt;=AO$3,VLOOKUP(V183,Kontenplan!$A$9:$D$278,4),"")</f>
        <v/>
      </c>
      <c r="AN183" s="12">
        <f t="shared" si="113"/>
        <v>0</v>
      </c>
      <c r="AO183" s="12" t="str">
        <f t="shared" ca="1" si="114"/>
        <v/>
      </c>
      <c r="AP183" s="46" t="str">
        <f t="shared" ca="1" si="115"/>
        <v/>
      </c>
      <c r="AQ183" s="46" t="str">
        <f t="shared" ca="1" si="116"/>
        <v/>
      </c>
      <c r="AR183" s="46"/>
      <c r="AS183" s="147">
        <f t="shared" ca="1" si="117"/>
        <v>3.016600000000035</v>
      </c>
      <c r="AT183" s="147">
        <f t="shared" si="118"/>
        <v>2.0171000000000361</v>
      </c>
      <c r="AU183" s="47" t="str">
        <f>IF(V183&lt;=AW$3,VLOOKUP(AO$3+V183,Kontenplan!$A$9:$D$278,4),"")</f>
        <v/>
      </c>
      <c r="AV183" s="12">
        <f t="shared" si="119"/>
        <v>0</v>
      </c>
      <c r="AW183" s="12" t="str">
        <f t="shared" ca="1" si="120"/>
        <v/>
      </c>
      <c r="AX183" s="46" t="str">
        <f t="shared" ca="1" si="88"/>
        <v/>
      </c>
      <c r="AY183" s="46" t="str">
        <f t="shared" ca="1" si="121"/>
        <v/>
      </c>
      <c r="BA183" s="12">
        <f>Kontenplan!R185</f>
        <v>3</v>
      </c>
      <c r="BB183" s="12">
        <f>Kontenplan!S185</f>
        <v>2</v>
      </c>
      <c r="BC183" s="12">
        <f>Kontenplan!T185</f>
        <v>4</v>
      </c>
      <c r="BD183" s="170">
        <f>Kontenplan!U185</f>
        <v>4</v>
      </c>
      <c r="BF183" s="24">
        <f ca="1">SUM(AP$7:AP183)</f>
        <v>0</v>
      </c>
      <c r="BG183" s="46">
        <f ca="1">SUM(AQ$7:AQ182)</f>
        <v>0</v>
      </c>
      <c r="BH183" s="24">
        <f t="shared" ca="1" si="122"/>
        <v>0</v>
      </c>
      <c r="BI183" s="24"/>
      <c r="BJ183" s="24">
        <f ca="1">SUM(AX$7:AX183)</f>
        <v>0</v>
      </c>
      <c r="BK183" s="24">
        <f ca="1">SUM(AY$7:AY182)</f>
        <v>0</v>
      </c>
      <c r="BL183" s="24">
        <f t="shared" ca="1" si="123"/>
        <v>0</v>
      </c>
      <c r="BN183" s="24">
        <f ca="1">SUM(AB$7:AB183)</f>
        <v>0</v>
      </c>
      <c r="BO183" s="46">
        <f ca="1">SUM(AC$7:AC182)</f>
        <v>0</v>
      </c>
      <c r="BP183" s="24">
        <f t="shared" ca="1" si="124"/>
        <v>0</v>
      </c>
      <c r="BR183" s="24">
        <f ca="1">SUM(AH$7:AH183)</f>
        <v>0</v>
      </c>
      <c r="BS183" s="46">
        <f ca="1">SUM(AI$7:AI182)</f>
        <v>0</v>
      </c>
      <c r="BT183" s="24">
        <f t="shared" ca="1" si="125"/>
        <v>0</v>
      </c>
    </row>
    <row r="184" spans="1:72" s="12" customFormat="1">
      <c r="A184" s="202">
        <f>Kontenplan!C186</f>
        <v>0</v>
      </c>
      <c r="B184" s="224">
        <f>Kontenplan!E186</f>
        <v>0</v>
      </c>
      <c r="C184" s="225">
        <f>Kontenplan!F186</f>
        <v>0</v>
      </c>
      <c r="D184" s="43">
        <f>IF(B184=0,0,SUMIF(Journal!$F$7:$F$83,Calc!B184,Journal!$I$7:$I$83))</f>
        <v>0</v>
      </c>
      <c r="E184" s="15">
        <f>IF(B184=0,0,SUMIF(Journal!$G$7:$M258,Calc!B184,Journal!$I$7:$I$83))</f>
        <v>0</v>
      </c>
      <c r="F184" s="44">
        <f t="shared" si="89"/>
        <v>0</v>
      </c>
      <c r="G184" s="15">
        <f t="shared" si="90"/>
        <v>0</v>
      </c>
      <c r="H184" s="14" t="str">
        <f t="shared" si="91"/>
        <v xml:space="preserve"> </v>
      </c>
      <c r="I184" s="43" t="str">
        <f t="shared" si="92"/>
        <v xml:space="preserve"> </v>
      </c>
      <c r="J184" s="45" t="str">
        <f t="shared" si="93"/>
        <v xml:space="preserve"> </v>
      </c>
      <c r="K184" s="48" t="str">
        <f t="shared" si="94"/>
        <v xml:space="preserve"> </v>
      </c>
      <c r="L184" s="45" t="str">
        <f t="shared" si="95"/>
        <v xml:space="preserve"> </v>
      </c>
      <c r="M184" s="48" t="str">
        <f t="shared" si="96"/>
        <v xml:space="preserve"> </v>
      </c>
      <c r="N184" s="24"/>
      <c r="O184" s="12">
        <f t="shared" si="97"/>
        <v>10.033599999999922</v>
      </c>
      <c r="P184" s="12">
        <f t="shared" si="98"/>
        <v>9.0317999999999259</v>
      </c>
      <c r="Q184" s="12">
        <f t="shared" si="99"/>
        <v>31.02559999999994</v>
      </c>
      <c r="R184" s="12">
        <f t="shared" si="100"/>
        <v>29.019799999999954</v>
      </c>
      <c r="S184" s="12">
        <f t="shared" si="101"/>
        <v>0</v>
      </c>
      <c r="T184" s="12">
        <f t="shared" si="102"/>
        <v>0</v>
      </c>
      <c r="U184" s="43">
        <f>IF(OR(A184=Kontenplan!$C$3,A184=Kontenplan!$C$5),F184-G184,G184-F184)</f>
        <v>0</v>
      </c>
      <c r="V184" s="171">
        <f t="shared" si="85"/>
        <v>178</v>
      </c>
      <c r="W184" s="12">
        <f t="shared" si="86"/>
        <v>151</v>
      </c>
      <c r="X184" s="12">
        <f t="shared" si="87"/>
        <v>153</v>
      </c>
      <c r="Y184" s="12">
        <f>IF(Z184=0,VLOOKUP(W184,Kontenplan!$Y$9:$AA$551,3),"")</f>
        <v>0</v>
      </c>
      <c r="Z184" s="12">
        <f t="shared" si="103"/>
        <v>0</v>
      </c>
      <c r="AA184" s="12" t="str">
        <f t="shared" ca="1" si="104"/>
        <v/>
      </c>
      <c r="AB184" s="46" t="str">
        <f t="shared" ca="1" si="105"/>
        <v/>
      </c>
      <c r="AC184" s="46" t="str">
        <f t="shared" ca="1" si="106"/>
        <v/>
      </c>
      <c r="AD184" s="47"/>
      <c r="AE184" s="12">
        <f>IF(AF184=0,VLOOKUP(X184,Kontenplan!$Z$9:$AB$551,3),"")</f>
        <v>0</v>
      </c>
      <c r="AF184" s="47">
        <f t="shared" si="107"/>
        <v>0</v>
      </c>
      <c r="AG184" s="12" t="str">
        <f t="shared" ca="1" si="108"/>
        <v/>
      </c>
      <c r="AH184" s="46" t="str">
        <f t="shared" ca="1" si="109"/>
        <v/>
      </c>
      <c r="AI184" s="46" t="str">
        <f t="shared" ca="1" si="110"/>
        <v/>
      </c>
      <c r="AJ184" s="46"/>
      <c r="AK184" s="147">
        <f t="shared" ca="1" si="111"/>
        <v>2.0168000000000355</v>
      </c>
      <c r="AL184" s="147">
        <f t="shared" si="112"/>
        <v>2.0171000000000361</v>
      </c>
      <c r="AM184" s="12" t="str">
        <f>IF(V184&lt;=AO$3,VLOOKUP(V184,Kontenplan!$A$9:$D$278,4),"")</f>
        <v/>
      </c>
      <c r="AN184" s="12">
        <f t="shared" si="113"/>
        <v>0</v>
      </c>
      <c r="AO184" s="12" t="str">
        <f t="shared" ca="1" si="114"/>
        <v/>
      </c>
      <c r="AP184" s="46" t="str">
        <f t="shared" ca="1" si="115"/>
        <v/>
      </c>
      <c r="AQ184" s="46" t="str">
        <f t="shared" ca="1" si="116"/>
        <v/>
      </c>
      <c r="AR184" s="46"/>
      <c r="AS184" s="147">
        <f t="shared" ca="1" si="117"/>
        <v>3.0167000000000352</v>
      </c>
      <c r="AT184" s="147">
        <f t="shared" si="118"/>
        <v>2.0172000000000363</v>
      </c>
      <c r="AU184" s="47" t="str">
        <f>IF(V184&lt;=AW$3,VLOOKUP(AO$3+V184,Kontenplan!$A$9:$D$278,4),"")</f>
        <v/>
      </c>
      <c r="AV184" s="12">
        <f t="shared" si="119"/>
        <v>0</v>
      </c>
      <c r="AW184" s="12" t="str">
        <f t="shared" ca="1" si="120"/>
        <v/>
      </c>
      <c r="AX184" s="46" t="str">
        <f t="shared" ca="1" si="88"/>
        <v/>
      </c>
      <c r="AY184" s="46" t="str">
        <f t="shared" ca="1" si="121"/>
        <v/>
      </c>
      <c r="BA184" s="12">
        <f>Kontenplan!R186</f>
        <v>3</v>
      </c>
      <c r="BB184" s="12">
        <f>Kontenplan!S186</f>
        <v>2</v>
      </c>
      <c r="BC184" s="12">
        <f>Kontenplan!T186</f>
        <v>4</v>
      </c>
      <c r="BD184" s="170">
        <f>Kontenplan!U186</f>
        <v>4</v>
      </c>
      <c r="BF184" s="24">
        <f ca="1">SUM(AP$7:AP184)</f>
        <v>0</v>
      </c>
      <c r="BG184" s="46">
        <f ca="1">SUM(AQ$7:AQ183)</f>
        <v>0</v>
      </c>
      <c r="BH184" s="24">
        <f t="shared" ca="1" si="122"/>
        <v>0</v>
      </c>
      <c r="BI184" s="24"/>
      <c r="BJ184" s="24">
        <f ca="1">SUM(AX$7:AX184)</f>
        <v>0</v>
      </c>
      <c r="BK184" s="24">
        <f ca="1">SUM(AY$7:AY183)</f>
        <v>0</v>
      </c>
      <c r="BL184" s="24">
        <f t="shared" ca="1" si="123"/>
        <v>0</v>
      </c>
      <c r="BN184" s="24">
        <f ca="1">SUM(AB$7:AB184)</f>
        <v>0</v>
      </c>
      <c r="BO184" s="46">
        <f ca="1">SUM(AC$7:AC183)</f>
        <v>0</v>
      </c>
      <c r="BP184" s="24">
        <f t="shared" ca="1" si="124"/>
        <v>0</v>
      </c>
      <c r="BR184" s="24">
        <f ca="1">SUM(AH$7:AH184)</f>
        <v>0</v>
      </c>
      <c r="BS184" s="46">
        <f ca="1">SUM(AI$7:AI183)</f>
        <v>0</v>
      </c>
      <c r="BT184" s="24">
        <f t="shared" ca="1" si="125"/>
        <v>0</v>
      </c>
    </row>
    <row r="185" spans="1:72" s="12" customFormat="1">
      <c r="A185" s="202">
        <f>Kontenplan!C187</f>
        <v>0</v>
      </c>
      <c r="B185" s="224">
        <f>Kontenplan!E187</f>
        <v>0</v>
      </c>
      <c r="C185" s="225">
        <f>Kontenplan!F187</f>
        <v>0</v>
      </c>
      <c r="D185" s="43">
        <f>IF(B185=0,0,SUMIF(Journal!$F$7:$F$83,Calc!B185,Journal!$I$7:$I$83))</f>
        <v>0</v>
      </c>
      <c r="E185" s="15">
        <f>IF(B185=0,0,SUMIF(Journal!$G$7:$M259,Calc!B185,Journal!$I$7:$I$83))</f>
        <v>0</v>
      </c>
      <c r="F185" s="44">
        <f t="shared" si="89"/>
        <v>0</v>
      </c>
      <c r="G185" s="15">
        <f t="shared" si="90"/>
        <v>0</v>
      </c>
      <c r="H185" s="14" t="str">
        <f t="shared" si="91"/>
        <v xml:space="preserve"> </v>
      </c>
      <c r="I185" s="43" t="str">
        <f t="shared" si="92"/>
        <v xml:space="preserve"> </v>
      </c>
      <c r="J185" s="45" t="str">
        <f t="shared" si="93"/>
        <v xml:space="preserve"> </v>
      </c>
      <c r="K185" s="48" t="str">
        <f t="shared" si="94"/>
        <v xml:space="preserve"> </v>
      </c>
      <c r="L185" s="45" t="str">
        <f t="shared" si="95"/>
        <v xml:space="preserve"> </v>
      </c>
      <c r="M185" s="48" t="str">
        <f t="shared" si="96"/>
        <v xml:space="preserve"> </v>
      </c>
      <c r="N185" s="24"/>
      <c r="O185" s="12">
        <f t="shared" si="97"/>
        <v>10.033799999999921</v>
      </c>
      <c r="P185" s="12">
        <f t="shared" si="98"/>
        <v>9.0319999999999254</v>
      </c>
      <c r="Q185" s="12">
        <f t="shared" si="99"/>
        <v>31.02579999999994</v>
      </c>
      <c r="R185" s="12">
        <f t="shared" si="100"/>
        <v>29.019999999999953</v>
      </c>
      <c r="S185" s="12">
        <f t="shared" si="101"/>
        <v>0</v>
      </c>
      <c r="T185" s="12">
        <f t="shared" si="102"/>
        <v>0</v>
      </c>
      <c r="U185" s="43">
        <f>IF(OR(A185=Kontenplan!$C$3,A185=Kontenplan!$C$5),F185-G185,G185-F185)</f>
        <v>0</v>
      </c>
      <c r="V185" s="171">
        <f t="shared" si="85"/>
        <v>179</v>
      </c>
      <c r="W185" s="12">
        <f t="shared" si="86"/>
        <v>152</v>
      </c>
      <c r="X185" s="12">
        <f t="shared" si="87"/>
        <v>154</v>
      </c>
      <c r="Y185" s="12">
        <f>IF(Z185=0,VLOOKUP(W185,Kontenplan!$Y$9:$AA$551,3),"")</f>
        <v>0</v>
      </c>
      <c r="Z185" s="12">
        <f t="shared" si="103"/>
        <v>0</v>
      </c>
      <c r="AA185" s="12" t="str">
        <f t="shared" ca="1" si="104"/>
        <v/>
      </c>
      <c r="AB185" s="46" t="str">
        <f t="shared" ca="1" si="105"/>
        <v/>
      </c>
      <c r="AC185" s="46" t="str">
        <f t="shared" ca="1" si="106"/>
        <v/>
      </c>
      <c r="AD185" s="47"/>
      <c r="AE185" s="12">
        <f>IF(AF185=0,VLOOKUP(X185,Kontenplan!$Z$9:$AB$551,3),"")</f>
        <v>0</v>
      </c>
      <c r="AF185" s="47">
        <f t="shared" si="107"/>
        <v>0</v>
      </c>
      <c r="AG185" s="12" t="str">
        <f t="shared" ca="1" si="108"/>
        <v/>
      </c>
      <c r="AH185" s="46" t="str">
        <f t="shared" ca="1" si="109"/>
        <v/>
      </c>
      <c r="AI185" s="46" t="str">
        <f t="shared" ca="1" si="110"/>
        <v/>
      </c>
      <c r="AJ185" s="46"/>
      <c r="AK185" s="147">
        <f t="shared" ca="1" si="111"/>
        <v>2.0169000000000357</v>
      </c>
      <c r="AL185" s="147">
        <f t="shared" si="112"/>
        <v>2.0172000000000363</v>
      </c>
      <c r="AM185" s="12" t="str">
        <f>IF(V185&lt;=AO$3,VLOOKUP(V185,Kontenplan!$A$9:$D$278,4),"")</f>
        <v/>
      </c>
      <c r="AN185" s="12">
        <f t="shared" si="113"/>
        <v>0</v>
      </c>
      <c r="AO185" s="12" t="str">
        <f t="shared" ca="1" si="114"/>
        <v/>
      </c>
      <c r="AP185" s="46" t="str">
        <f t="shared" ca="1" si="115"/>
        <v/>
      </c>
      <c r="AQ185" s="46" t="str">
        <f t="shared" ca="1" si="116"/>
        <v/>
      </c>
      <c r="AR185" s="46"/>
      <c r="AS185" s="147">
        <f t="shared" ca="1" si="117"/>
        <v>3.0168000000000355</v>
      </c>
      <c r="AT185" s="147">
        <f t="shared" si="118"/>
        <v>2.0173000000000365</v>
      </c>
      <c r="AU185" s="47" t="str">
        <f>IF(V185&lt;=AW$3,VLOOKUP(AO$3+V185,Kontenplan!$A$9:$D$278,4),"")</f>
        <v/>
      </c>
      <c r="AV185" s="12">
        <f t="shared" si="119"/>
        <v>0</v>
      </c>
      <c r="AW185" s="12" t="str">
        <f t="shared" ca="1" si="120"/>
        <v/>
      </c>
      <c r="AX185" s="46" t="str">
        <f t="shared" ca="1" si="88"/>
        <v/>
      </c>
      <c r="AY185" s="46" t="str">
        <f t="shared" ca="1" si="121"/>
        <v/>
      </c>
      <c r="BA185" s="12">
        <f>Kontenplan!R187</f>
        <v>3</v>
      </c>
      <c r="BB185" s="12">
        <f>Kontenplan!S187</f>
        <v>2</v>
      </c>
      <c r="BC185" s="12">
        <f>Kontenplan!T187</f>
        <v>4</v>
      </c>
      <c r="BD185" s="170">
        <f>Kontenplan!U187</f>
        <v>4</v>
      </c>
      <c r="BF185" s="24">
        <f ca="1">SUM(AP$7:AP185)</f>
        <v>0</v>
      </c>
      <c r="BG185" s="46">
        <f ca="1">SUM(AQ$7:AQ184)</f>
        <v>0</v>
      </c>
      <c r="BH185" s="24">
        <f t="shared" ca="1" si="122"/>
        <v>0</v>
      </c>
      <c r="BI185" s="24"/>
      <c r="BJ185" s="24">
        <f ca="1">SUM(AX$7:AX185)</f>
        <v>0</v>
      </c>
      <c r="BK185" s="24">
        <f ca="1">SUM(AY$7:AY184)</f>
        <v>0</v>
      </c>
      <c r="BL185" s="24">
        <f t="shared" ca="1" si="123"/>
        <v>0</v>
      </c>
      <c r="BN185" s="24">
        <f ca="1">SUM(AB$7:AB185)</f>
        <v>0</v>
      </c>
      <c r="BO185" s="46">
        <f ca="1">SUM(AC$7:AC184)</f>
        <v>0</v>
      </c>
      <c r="BP185" s="24">
        <f t="shared" ca="1" si="124"/>
        <v>0</v>
      </c>
      <c r="BR185" s="24">
        <f ca="1">SUM(AH$7:AH185)</f>
        <v>0</v>
      </c>
      <c r="BS185" s="46">
        <f ca="1">SUM(AI$7:AI184)</f>
        <v>0</v>
      </c>
      <c r="BT185" s="24">
        <f t="shared" ca="1" si="125"/>
        <v>0</v>
      </c>
    </row>
    <row r="186" spans="1:72" s="12" customFormat="1">
      <c r="A186" s="202">
        <f>Kontenplan!C188</f>
        <v>0</v>
      </c>
      <c r="B186" s="224">
        <f>Kontenplan!E188</f>
        <v>0</v>
      </c>
      <c r="C186" s="225">
        <f>Kontenplan!F188</f>
        <v>0</v>
      </c>
      <c r="D186" s="43">
        <f>IF(B186=0,0,SUMIF(Journal!$F$7:$F$83,Calc!B186,Journal!$I$7:$I$83))</f>
        <v>0</v>
      </c>
      <c r="E186" s="15">
        <f>IF(B186=0,0,SUMIF(Journal!$G$7:$M260,Calc!B186,Journal!$I$7:$I$83))</f>
        <v>0</v>
      </c>
      <c r="F186" s="44">
        <f t="shared" si="89"/>
        <v>0</v>
      </c>
      <c r="G186" s="15">
        <f t="shared" si="90"/>
        <v>0</v>
      </c>
      <c r="H186" s="14" t="str">
        <f t="shared" si="91"/>
        <v xml:space="preserve"> </v>
      </c>
      <c r="I186" s="43" t="str">
        <f t="shared" si="92"/>
        <v xml:space="preserve"> </v>
      </c>
      <c r="J186" s="45" t="str">
        <f t="shared" si="93"/>
        <v xml:space="preserve"> </v>
      </c>
      <c r="K186" s="48" t="str">
        <f t="shared" si="94"/>
        <v xml:space="preserve"> </v>
      </c>
      <c r="L186" s="45" t="str">
        <f t="shared" si="95"/>
        <v xml:space="preserve"> </v>
      </c>
      <c r="M186" s="48" t="str">
        <f t="shared" si="96"/>
        <v xml:space="preserve"> </v>
      </c>
      <c r="N186" s="24"/>
      <c r="O186" s="12">
        <f t="shared" si="97"/>
        <v>10.033999999999921</v>
      </c>
      <c r="P186" s="12">
        <f t="shared" si="98"/>
        <v>9.032199999999925</v>
      </c>
      <c r="Q186" s="12">
        <f t="shared" si="99"/>
        <v>31.025999999999939</v>
      </c>
      <c r="R186" s="12">
        <f t="shared" si="100"/>
        <v>29.020199999999953</v>
      </c>
      <c r="S186" s="12">
        <f t="shared" si="101"/>
        <v>0</v>
      </c>
      <c r="T186" s="12">
        <f t="shared" si="102"/>
        <v>0</v>
      </c>
      <c r="U186" s="43">
        <f>IF(OR(A186=Kontenplan!$C$3,A186=Kontenplan!$C$5),F186-G186,G186-F186)</f>
        <v>0</v>
      </c>
      <c r="V186" s="171">
        <f t="shared" si="85"/>
        <v>180</v>
      </c>
      <c r="W186" s="12">
        <f t="shared" si="86"/>
        <v>153</v>
      </c>
      <c r="X186" s="12">
        <f t="shared" si="87"/>
        <v>155</v>
      </c>
      <c r="Y186" s="12">
        <f>IF(Z186=0,VLOOKUP(W186,Kontenplan!$Y$9:$AA$551,3),"")</f>
        <v>0</v>
      </c>
      <c r="Z186" s="12">
        <f t="shared" si="103"/>
        <v>0</v>
      </c>
      <c r="AA186" s="12" t="str">
        <f t="shared" ca="1" si="104"/>
        <v/>
      </c>
      <c r="AB186" s="46" t="str">
        <f t="shared" ca="1" si="105"/>
        <v/>
      </c>
      <c r="AC186" s="46" t="str">
        <f t="shared" ca="1" si="106"/>
        <v/>
      </c>
      <c r="AD186" s="47"/>
      <c r="AE186" s="12">
        <f>IF(AF186=0,VLOOKUP(X186,Kontenplan!$Z$9:$AB$551,3),"")</f>
        <v>0</v>
      </c>
      <c r="AF186" s="47">
        <f t="shared" si="107"/>
        <v>0</v>
      </c>
      <c r="AG186" s="12" t="str">
        <f t="shared" ca="1" si="108"/>
        <v/>
      </c>
      <c r="AH186" s="46" t="str">
        <f t="shared" ca="1" si="109"/>
        <v/>
      </c>
      <c r="AI186" s="46" t="str">
        <f t="shared" ca="1" si="110"/>
        <v/>
      </c>
      <c r="AJ186" s="46"/>
      <c r="AK186" s="147">
        <f t="shared" ca="1" si="111"/>
        <v>2.0170000000000359</v>
      </c>
      <c r="AL186" s="147">
        <f t="shared" si="112"/>
        <v>2.0173000000000365</v>
      </c>
      <c r="AM186" s="12" t="str">
        <f>IF(V186&lt;=AO$3,VLOOKUP(V186,Kontenplan!$A$9:$D$278,4),"")</f>
        <v/>
      </c>
      <c r="AN186" s="12">
        <f t="shared" si="113"/>
        <v>0</v>
      </c>
      <c r="AO186" s="12" t="str">
        <f t="shared" ca="1" si="114"/>
        <v/>
      </c>
      <c r="AP186" s="46" t="str">
        <f t="shared" ca="1" si="115"/>
        <v/>
      </c>
      <c r="AQ186" s="46" t="str">
        <f t="shared" ca="1" si="116"/>
        <v/>
      </c>
      <c r="AR186" s="46"/>
      <c r="AS186" s="147">
        <f t="shared" ca="1" si="117"/>
        <v>3.0169000000000357</v>
      </c>
      <c r="AT186" s="147">
        <f t="shared" si="118"/>
        <v>2.0174000000000367</v>
      </c>
      <c r="AU186" s="47" t="str">
        <f>IF(V186&lt;=AW$3,VLOOKUP(AO$3+V186,Kontenplan!$A$9:$D$278,4),"")</f>
        <v/>
      </c>
      <c r="AV186" s="12">
        <f t="shared" si="119"/>
        <v>0</v>
      </c>
      <c r="AW186" s="12" t="str">
        <f t="shared" ca="1" si="120"/>
        <v/>
      </c>
      <c r="AX186" s="46" t="str">
        <f t="shared" ca="1" si="88"/>
        <v/>
      </c>
      <c r="AY186" s="46" t="str">
        <f t="shared" ca="1" si="121"/>
        <v/>
      </c>
      <c r="BA186" s="12">
        <f>Kontenplan!R188</f>
        <v>3</v>
      </c>
      <c r="BB186" s="12">
        <f>Kontenplan!S188</f>
        <v>2</v>
      </c>
      <c r="BC186" s="12">
        <f>Kontenplan!T188</f>
        <v>4</v>
      </c>
      <c r="BD186" s="170">
        <f>Kontenplan!U188</f>
        <v>4</v>
      </c>
      <c r="BF186" s="24">
        <f ca="1">SUM(AP$7:AP186)</f>
        <v>0</v>
      </c>
      <c r="BG186" s="46">
        <f ca="1">SUM(AQ$7:AQ185)</f>
        <v>0</v>
      </c>
      <c r="BH186" s="24">
        <f t="shared" ca="1" si="122"/>
        <v>0</v>
      </c>
      <c r="BI186" s="24"/>
      <c r="BJ186" s="24">
        <f ca="1">SUM(AX$7:AX186)</f>
        <v>0</v>
      </c>
      <c r="BK186" s="24">
        <f ca="1">SUM(AY$7:AY185)</f>
        <v>0</v>
      </c>
      <c r="BL186" s="24">
        <f t="shared" ca="1" si="123"/>
        <v>0</v>
      </c>
      <c r="BN186" s="24">
        <f ca="1">SUM(AB$7:AB186)</f>
        <v>0</v>
      </c>
      <c r="BO186" s="46">
        <f ca="1">SUM(AC$7:AC185)</f>
        <v>0</v>
      </c>
      <c r="BP186" s="24">
        <f t="shared" ca="1" si="124"/>
        <v>0</v>
      </c>
      <c r="BR186" s="24">
        <f ca="1">SUM(AH$7:AH186)</f>
        <v>0</v>
      </c>
      <c r="BS186" s="46">
        <f ca="1">SUM(AI$7:AI185)</f>
        <v>0</v>
      </c>
      <c r="BT186" s="24">
        <f t="shared" ca="1" si="125"/>
        <v>0</v>
      </c>
    </row>
    <row r="187" spans="1:72" s="12" customFormat="1">
      <c r="A187" s="202">
        <f>Kontenplan!C189</f>
        <v>0</v>
      </c>
      <c r="B187" s="224">
        <f>Kontenplan!E189</f>
        <v>0</v>
      </c>
      <c r="C187" s="225">
        <f>Kontenplan!F189</f>
        <v>0</v>
      </c>
      <c r="D187" s="43">
        <f>IF(B187=0,0,SUMIF(Journal!$F$7:$F$83,Calc!B187,Journal!$I$7:$I$83))</f>
        <v>0</v>
      </c>
      <c r="E187" s="15">
        <f>IF(B187=0,0,SUMIF(Journal!$G$7:$M261,Calc!B187,Journal!$I$7:$I$83))</f>
        <v>0</v>
      </c>
      <c r="F187" s="44">
        <f t="shared" si="89"/>
        <v>0</v>
      </c>
      <c r="G187" s="15">
        <f t="shared" si="90"/>
        <v>0</v>
      </c>
      <c r="H187" s="14" t="str">
        <f t="shared" si="91"/>
        <v xml:space="preserve"> </v>
      </c>
      <c r="I187" s="43" t="str">
        <f t="shared" si="92"/>
        <v xml:space="preserve"> </v>
      </c>
      <c r="J187" s="45" t="str">
        <f t="shared" si="93"/>
        <v xml:space="preserve"> </v>
      </c>
      <c r="K187" s="48" t="str">
        <f t="shared" si="94"/>
        <v xml:space="preserve"> </v>
      </c>
      <c r="L187" s="45" t="str">
        <f t="shared" si="95"/>
        <v xml:space="preserve"> </v>
      </c>
      <c r="M187" s="48" t="str">
        <f t="shared" si="96"/>
        <v xml:space="preserve"> </v>
      </c>
      <c r="N187" s="24"/>
      <c r="O187" s="12">
        <f t="shared" si="97"/>
        <v>10.03419999999992</v>
      </c>
      <c r="P187" s="12">
        <f t="shared" si="98"/>
        <v>9.0323999999999245</v>
      </c>
      <c r="Q187" s="12">
        <f t="shared" si="99"/>
        <v>31.026199999999939</v>
      </c>
      <c r="R187" s="12">
        <f t="shared" si="100"/>
        <v>29.020399999999952</v>
      </c>
      <c r="S187" s="12">
        <f t="shared" si="101"/>
        <v>0</v>
      </c>
      <c r="T187" s="12">
        <f t="shared" si="102"/>
        <v>0</v>
      </c>
      <c r="U187" s="43">
        <f>IF(OR(A187=Kontenplan!$C$3,A187=Kontenplan!$C$5),F187-G187,G187-F187)</f>
        <v>0</v>
      </c>
      <c r="V187" s="171">
        <f t="shared" si="85"/>
        <v>181</v>
      </c>
      <c r="W187" s="12">
        <f t="shared" si="86"/>
        <v>154</v>
      </c>
      <c r="X187" s="12">
        <f t="shared" si="87"/>
        <v>156</v>
      </c>
      <c r="Y187" s="12">
        <f>IF(Z187=0,VLOOKUP(W187,Kontenplan!$Y$9:$AA$551,3),"")</f>
        <v>0</v>
      </c>
      <c r="Z187" s="12">
        <f t="shared" si="103"/>
        <v>0</v>
      </c>
      <c r="AA187" s="12" t="str">
        <f t="shared" ca="1" si="104"/>
        <v/>
      </c>
      <c r="AB187" s="46" t="str">
        <f t="shared" ca="1" si="105"/>
        <v/>
      </c>
      <c r="AC187" s="46" t="str">
        <f t="shared" ca="1" si="106"/>
        <v/>
      </c>
      <c r="AD187" s="47"/>
      <c r="AE187" s="12">
        <f>IF(AF187=0,VLOOKUP(X187,Kontenplan!$Z$9:$AB$551,3),"")</f>
        <v>0</v>
      </c>
      <c r="AF187" s="47">
        <f t="shared" si="107"/>
        <v>0</v>
      </c>
      <c r="AG187" s="12" t="str">
        <f t="shared" ca="1" si="108"/>
        <v/>
      </c>
      <c r="AH187" s="46" t="str">
        <f t="shared" ca="1" si="109"/>
        <v/>
      </c>
      <c r="AI187" s="46" t="str">
        <f t="shared" ca="1" si="110"/>
        <v/>
      </c>
      <c r="AJ187" s="46"/>
      <c r="AK187" s="147">
        <f t="shared" ca="1" si="111"/>
        <v>2.0171000000000361</v>
      </c>
      <c r="AL187" s="147">
        <f t="shared" si="112"/>
        <v>2.0174000000000367</v>
      </c>
      <c r="AM187" s="12" t="str">
        <f>IF(V187&lt;=AO$3,VLOOKUP(V187,Kontenplan!$A$9:$D$278,4),"")</f>
        <v/>
      </c>
      <c r="AN187" s="12">
        <f t="shared" si="113"/>
        <v>0</v>
      </c>
      <c r="AO187" s="12" t="str">
        <f t="shared" ca="1" si="114"/>
        <v/>
      </c>
      <c r="AP187" s="46" t="str">
        <f t="shared" ca="1" si="115"/>
        <v/>
      </c>
      <c r="AQ187" s="46" t="str">
        <f t="shared" ca="1" si="116"/>
        <v/>
      </c>
      <c r="AR187" s="46"/>
      <c r="AS187" s="147">
        <f t="shared" ca="1" si="117"/>
        <v>3.0170000000000359</v>
      </c>
      <c r="AT187" s="147">
        <f t="shared" si="118"/>
        <v>2.0175000000000369</v>
      </c>
      <c r="AU187" s="47" t="str">
        <f>IF(V187&lt;=AW$3,VLOOKUP(AO$3+V187,Kontenplan!$A$9:$D$278,4),"")</f>
        <v/>
      </c>
      <c r="AV187" s="12">
        <f t="shared" si="119"/>
        <v>0</v>
      </c>
      <c r="AW187" s="12" t="str">
        <f t="shared" ca="1" si="120"/>
        <v/>
      </c>
      <c r="AX187" s="46" t="str">
        <f t="shared" ca="1" si="88"/>
        <v/>
      </c>
      <c r="AY187" s="46" t="str">
        <f t="shared" ca="1" si="121"/>
        <v/>
      </c>
      <c r="BA187" s="12">
        <f>Kontenplan!R189</f>
        <v>3</v>
      </c>
      <c r="BB187" s="12">
        <f>Kontenplan!S189</f>
        <v>2</v>
      </c>
      <c r="BC187" s="12">
        <f>Kontenplan!T189</f>
        <v>4</v>
      </c>
      <c r="BD187" s="170">
        <f>Kontenplan!U189</f>
        <v>4</v>
      </c>
      <c r="BF187" s="24">
        <f ca="1">SUM(AP$7:AP187)</f>
        <v>0</v>
      </c>
      <c r="BG187" s="46">
        <f ca="1">SUM(AQ$7:AQ186)</f>
        <v>0</v>
      </c>
      <c r="BH187" s="24">
        <f t="shared" ca="1" si="122"/>
        <v>0</v>
      </c>
      <c r="BI187" s="24"/>
      <c r="BJ187" s="24">
        <f ca="1">SUM(AX$7:AX187)</f>
        <v>0</v>
      </c>
      <c r="BK187" s="24">
        <f ca="1">SUM(AY$7:AY186)</f>
        <v>0</v>
      </c>
      <c r="BL187" s="24">
        <f t="shared" ca="1" si="123"/>
        <v>0</v>
      </c>
      <c r="BN187" s="24">
        <f ca="1">SUM(AB$7:AB187)</f>
        <v>0</v>
      </c>
      <c r="BO187" s="46">
        <f ca="1">SUM(AC$7:AC186)</f>
        <v>0</v>
      </c>
      <c r="BP187" s="24">
        <f t="shared" ca="1" si="124"/>
        <v>0</v>
      </c>
      <c r="BR187" s="24">
        <f ca="1">SUM(AH$7:AH187)</f>
        <v>0</v>
      </c>
      <c r="BS187" s="46">
        <f ca="1">SUM(AI$7:AI186)</f>
        <v>0</v>
      </c>
      <c r="BT187" s="24">
        <f t="shared" ca="1" si="125"/>
        <v>0</v>
      </c>
    </row>
    <row r="188" spans="1:72" s="12" customFormat="1">
      <c r="A188" s="202">
        <f>Kontenplan!C190</f>
        <v>0</v>
      </c>
      <c r="B188" s="224">
        <f>Kontenplan!E190</f>
        <v>0</v>
      </c>
      <c r="C188" s="225">
        <f>Kontenplan!F190</f>
        <v>0</v>
      </c>
      <c r="D188" s="43">
        <f>IF(B188=0,0,SUMIF(Journal!$F$7:$F$83,Calc!B188,Journal!$I$7:$I$83))</f>
        <v>0</v>
      </c>
      <c r="E188" s="15">
        <f>IF(B188=0,0,SUMIF(Journal!$G$7:$M262,Calc!B188,Journal!$I$7:$I$83))</f>
        <v>0</v>
      </c>
      <c r="F188" s="44">
        <f t="shared" si="89"/>
        <v>0</v>
      </c>
      <c r="G188" s="15">
        <f t="shared" si="90"/>
        <v>0</v>
      </c>
      <c r="H188" s="14" t="str">
        <f t="shared" si="91"/>
        <v xml:space="preserve"> </v>
      </c>
      <c r="I188" s="43" t="str">
        <f t="shared" si="92"/>
        <v xml:space="preserve"> </v>
      </c>
      <c r="J188" s="45" t="str">
        <f t="shared" si="93"/>
        <v xml:space="preserve"> </v>
      </c>
      <c r="K188" s="48" t="str">
        <f t="shared" si="94"/>
        <v xml:space="preserve"> </v>
      </c>
      <c r="L188" s="45" t="str">
        <f t="shared" si="95"/>
        <v xml:space="preserve"> </v>
      </c>
      <c r="M188" s="48" t="str">
        <f t="shared" si="96"/>
        <v xml:space="preserve"> </v>
      </c>
      <c r="N188" s="24"/>
      <c r="O188" s="12">
        <f t="shared" si="97"/>
        <v>10.03439999999992</v>
      </c>
      <c r="P188" s="12">
        <f t="shared" si="98"/>
        <v>9.032599999999924</v>
      </c>
      <c r="Q188" s="12">
        <f t="shared" si="99"/>
        <v>31.026399999999938</v>
      </c>
      <c r="R188" s="12">
        <f t="shared" si="100"/>
        <v>29.020599999999952</v>
      </c>
      <c r="S188" s="12">
        <f t="shared" si="101"/>
        <v>0</v>
      </c>
      <c r="T188" s="12">
        <f t="shared" si="102"/>
        <v>0</v>
      </c>
      <c r="U188" s="43">
        <f>IF(OR(A188=Kontenplan!$C$3,A188=Kontenplan!$C$5),F188-G188,G188-F188)</f>
        <v>0</v>
      </c>
      <c r="V188" s="171">
        <f t="shared" si="85"/>
        <v>182</v>
      </c>
      <c r="W188" s="12">
        <f t="shared" si="86"/>
        <v>155</v>
      </c>
      <c r="X188" s="12">
        <f t="shared" si="87"/>
        <v>157</v>
      </c>
      <c r="Y188" s="12">
        <f>IF(Z188=0,VLOOKUP(W188,Kontenplan!$Y$9:$AA$551,3),"")</f>
        <v>0</v>
      </c>
      <c r="Z188" s="12">
        <f t="shared" si="103"/>
        <v>0</v>
      </c>
      <c r="AA188" s="12" t="str">
        <f t="shared" ca="1" si="104"/>
        <v/>
      </c>
      <c r="AB188" s="46" t="str">
        <f t="shared" ca="1" si="105"/>
        <v/>
      </c>
      <c r="AC188" s="46" t="str">
        <f t="shared" ca="1" si="106"/>
        <v/>
      </c>
      <c r="AD188" s="47"/>
      <c r="AE188" s="12">
        <f>IF(AF188=0,VLOOKUP(X188,Kontenplan!$Z$9:$AB$551,3),"")</f>
        <v>0</v>
      </c>
      <c r="AF188" s="47">
        <f t="shared" si="107"/>
        <v>0</v>
      </c>
      <c r="AG188" s="12" t="str">
        <f t="shared" ca="1" si="108"/>
        <v/>
      </c>
      <c r="AH188" s="46" t="str">
        <f t="shared" ca="1" si="109"/>
        <v/>
      </c>
      <c r="AI188" s="46" t="str">
        <f t="shared" ca="1" si="110"/>
        <v/>
      </c>
      <c r="AJ188" s="46"/>
      <c r="AK188" s="147">
        <f t="shared" ca="1" si="111"/>
        <v>2.0172000000000363</v>
      </c>
      <c r="AL188" s="147">
        <f t="shared" si="112"/>
        <v>2.0175000000000369</v>
      </c>
      <c r="AM188" s="12" t="str">
        <f>IF(V188&lt;=AO$3,VLOOKUP(V188,Kontenplan!$A$9:$D$278,4),"")</f>
        <v/>
      </c>
      <c r="AN188" s="12">
        <f t="shared" si="113"/>
        <v>0</v>
      </c>
      <c r="AO188" s="12" t="str">
        <f t="shared" ca="1" si="114"/>
        <v/>
      </c>
      <c r="AP188" s="46" t="str">
        <f t="shared" ca="1" si="115"/>
        <v/>
      </c>
      <c r="AQ188" s="46" t="str">
        <f t="shared" ca="1" si="116"/>
        <v/>
      </c>
      <c r="AR188" s="46"/>
      <c r="AS188" s="147">
        <f t="shared" ca="1" si="117"/>
        <v>3.0171000000000361</v>
      </c>
      <c r="AT188" s="147">
        <f t="shared" si="118"/>
        <v>2.0176000000000371</v>
      </c>
      <c r="AU188" s="47" t="str">
        <f>IF(V188&lt;=AW$3,VLOOKUP(AO$3+V188,Kontenplan!$A$9:$D$278,4),"")</f>
        <v/>
      </c>
      <c r="AV188" s="12">
        <f t="shared" si="119"/>
        <v>0</v>
      </c>
      <c r="AW188" s="12" t="str">
        <f t="shared" ca="1" si="120"/>
        <v/>
      </c>
      <c r="AX188" s="46" t="str">
        <f t="shared" ca="1" si="88"/>
        <v/>
      </c>
      <c r="AY188" s="46" t="str">
        <f t="shared" ca="1" si="121"/>
        <v/>
      </c>
      <c r="BA188" s="12">
        <f>Kontenplan!R190</f>
        <v>3</v>
      </c>
      <c r="BB188" s="12">
        <f>Kontenplan!S190</f>
        <v>2</v>
      </c>
      <c r="BC188" s="12">
        <f>Kontenplan!T190</f>
        <v>4</v>
      </c>
      <c r="BD188" s="170">
        <f>Kontenplan!U190</f>
        <v>4</v>
      </c>
      <c r="BF188" s="24">
        <f ca="1">SUM(AP$7:AP188)</f>
        <v>0</v>
      </c>
      <c r="BG188" s="46">
        <f ca="1">SUM(AQ$7:AQ187)</f>
        <v>0</v>
      </c>
      <c r="BH188" s="24">
        <f t="shared" ca="1" si="122"/>
        <v>0</v>
      </c>
      <c r="BI188" s="24"/>
      <c r="BJ188" s="24">
        <f ca="1">SUM(AX$7:AX188)</f>
        <v>0</v>
      </c>
      <c r="BK188" s="24">
        <f ca="1">SUM(AY$7:AY187)</f>
        <v>0</v>
      </c>
      <c r="BL188" s="24">
        <f t="shared" ca="1" si="123"/>
        <v>0</v>
      </c>
      <c r="BN188" s="24">
        <f ca="1">SUM(AB$7:AB188)</f>
        <v>0</v>
      </c>
      <c r="BO188" s="46">
        <f ca="1">SUM(AC$7:AC187)</f>
        <v>0</v>
      </c>
      <c r="BP188" s="24">
        <f t="shared" ca="1" si="124"/>
        <v>0</v>
      </c>
      <c r="BR188" s="24">
        <f ca="1">SUM(AH$7:AH188)</f>
        <v>0</v>
      </c>
      <c r="BS188" s="46">
        <f ca="1">SUM(AI$7:AI187)</f>
        <v>0</v>
      </c>
      <c r="BT188" s="24">
        <f t="shared" ca="1" si="125"/>
        <v>0</v>
      </c>
    </row>
    <row r="189" spans="1:72" s="12" customFormat="1">
      <c r="A189" s="202">
        <f>Kontenplan!C191</f>
        <v>0</v>
      </c>
      <c r="B189" s="224">
        <f>Kontenplan!E191</f>
        <v>0</v>
      </c>
      <c r="C189" s="225">
        <f>Kontenplan!F191</f>
        <v>0</v>
      </c>
      <c r="D189" s="43">
        <f>IF(B189=0,0,SUMIF(Journal!$F$7:$F$83,Calc!B189,Journal!$I$7:$I$83))</f>
        <v>0</v>
      </c>
      <c r="E189" s="15">
        <f>IF(B189=0,0,SUMIF(Journal!$G$7:$M263,Calc!B189,Journal!$I$7:$I$83))</f>
        <v>0</v>
      </c>
      <c r="F189" s="44">
        <f t="shared" si="89"/>
        <v>0</v>
      </c>
      <c r="G189" s="15">
        <f t="shared" si="90"/>
        <v>0</v>
      </c>
      <c r="H189" s="14" t="str">
        <f t="shared" si="91"/>
        <v xml:space="preserve"> </v>
      </c>
      <c r="I189" s="43" t="str">
        <f t="shared" si="92"/>
        <v xml:space="preserve"> </v>
      </c>
      <c r="J189" s="45" t="str">
        <f t="shared" si="93"/>
        <v xml:space="preserve"> </v>
      </c>
      <c r="K189" s="48" t="str">
        <f t="shared" si="94"/>
        <v xml:space="preserve"> </v>
      </c>
      <c r="L189" s="45" t="str">
        <f t="shared" si="95"/>
        <v xml:space="preserve"> </v>
      </c>
      <c r="M189" s="48" t="str">
        <f t="shared" si="96"/>
        <v xml:space="preserve"> </v>
      </c>
      <c r="N189" s="24"/>
      <c r="O189" s="12">
        <f t="shared" si="97"/>
        <v>10.034599999999919</v>
      </c>
      <c r="P189" s="12">
        <f t="shared" si="98"/>
        <v>9.0327999999999236</v>
      </c>
      <c r="Q189" s="12">
        <f t="shared" si="99"/>
        <v>31.026599999999938</v>
      </c>
      <c r="R189" s="12">
        <f t="shared" si="100"/>
        <v>29.020799999999952</v>
      </c>
      <c r="S189" s="12">
        <f t="shared" si="101"/>
        <v>0</v>
      </c>
      <c r="T189" s="12">
        <f t="shared" si="102"/>
        <v>0</v>
      </c>
      <c r="U189" s="43">
        <f>IF(OR(A189=Kontenplan!$C$3,A189=Kontenplan!$C$5),F189-G189,G189-F189)</f>
        <v>0</v>
      </c>
      <c r="V189" s="171">
        <f t="shared" si="85"/>
        <v>183</v>
      </c>
      <c r="W189" s="12">
        <f t="shared" si="86"/>
        <v>156</v>
      </c>
      <c r="X189" s="12">
        <f t="shared" si="87"/>
        <v>158</v>
      </c>
      <c r="Y189" s="12">
        <f>IF(Z189=0,VLOOKUP(W189,Kontenplan!$Y$9:$AA$551,3),"")</f>
        <v>0</v>
      </c>
      <c r="Z189" s="12">
        <f t="shared" si="103"/>
        <v>0</v>
      </c>
      <c r="AA189" s="12" t="str">
        <f t="shared" ca="1" si="104"/>
        <v/>
      </c>
      <c r="AB189" s="46" t="str">
        <f t="shared" ca="1" si="105"/>
        <v/>
      </c>
      <c r="AC189" s="46" t="str">
        <f t="shared" ca="1" si="106"/>
        <v/>
      </c>
      <c r="AD189" s="47"/>
      <c r="AE189" s="12">
        <f>IF(AF189=0,VLOOKUP(X189,Kontenplan!$Z$9:$AB$551,3),"")</f>
        <v>0</v>
      </c>
      <c r="AF189" s="47">
        <f t="shared" si="107"/>
        <v>0</v>
      </c>
      <c r="AG189" s="12" t="str">
        <f t="shared" ca="1" si="108"/>
        <v/>
      </c>
      <c r="AH189" s="46" t="str">
        <f t="shared" ca="1" si="109"/>
        <v/>
      </c>
      <c r="AI189" s="46" t="str">
        <f t="shared" ca="1" si="110"/>
        <v/>
      </c>
      <c r="AJ189" s="46"/>
      <c r="AK189" s="147">
        <f t="shared" ca="1" si="111"/>
        <v>2.0173000000000365</v>
      </c>
      <c r="AL189" s="147">
        <f t="shared" si="112"/>
        <v>2.0176000000000371</v>
      </c>
      <c r="AM189" s="12" t="str">
        <f>IF(V189&lt;=AO$3,VLOOKUP(V189,Kontenplan!$A$9:$D$278,4),"")</f>
        <v/>
      </c>
      <c r="AN189" s="12">
        <f t="shared" si="113"/>
        <v>0</v>
      </c>
      <c r="AO189" s="12" t="str">
        <f t="shared" ca="1" si="114"/>
        <v/>
      </c>
      <c r="AP189" s="46" t="str">
        <f t="shared" ca="1" si="115"/>
        <v/>
      </c>
      <c r="AQ189" s="46" t="str">
        <f t="shared" ca="1" si="116"/>
        <v/>
      </c>
      <c r="AR189" s="46"/>
      <c r="AS189" s="147">
        <f t="shared" ca="1" si="117"/>
        <v>3.0172000000000363</v>
      </c>
      <c r="AT189" s="147">
        <f t="shared" si="118"/>
        <v>2.0177000000000374</v>
      </c>
      <c r="AU189" s="47" t="str">
        <f>IF(V189&lt;=AW$3,VLOOKUP(AO$3+V189,Kontenplan!$A$9:$D$278,4),"")</f>
        <v/>
      </c>
      <c r="AV189" s="12">
        <f t="shared" si="119"/>
        <v>0</v>
      </c>
      <c r="AW189" s="12" t="str">
        <f t="shared" ca="1" si="120"/>
        <v/>
      </c>
      <c r="AX189" s="46" t="str">
        <f t="shared" ca="1" si="88"/>
        <v/>
      </c>
      <c r="AY189" s="46" t="str">
        <f t="shared" ca="1" si="121"/>
        <v/>
      </c>
      <c r="BA189" s="12">
        <f>Kontenplan!R191</f>
        <v>3</v>
      </c>
      <c r="BB189" s="12">
        <f>Kontenplan!S191</f>
        <v>2</v>
      </c>
      <c r="BC189" s="12">
        <f>Kontenplan!T191</f>
        <v>4</v>
      </c>
      <c r="BD189" s="170">
        <f>Kontenplan!U191</f>
        <v>4</v>
      </c>
      <c r="BF189" s="24">
        <f ca="1">SUM(AP$7:AP189)</f>
        <v>0</v>
      </c>
      <c r="BG189" s="46">
        <f ca="1">SUM(AQ$7:AQ188)</f>
        <v>0</v>
      </c>
      <c r="BH189" s="24">
        <f t="shared" ca="1" si="122"/>
        <v>0</v>
      </c>
      <c r="BI189" s="24"/>
      <c r="BJ189" s="24">
        <f ca="1">SUM(AX$7:AX189)</f>
        <v>0</v>
      </c>
      <c r="BK189" s="24">
        <f ca="1">SUM(AY$7:AY188)</f>
        <v>0</v>
      </c>
      <c r="BL189" s="24">
        <f t="shared" ca="1" si="123"/>
        <v>0</v>
      </c>
      <c r="BN189" s="24">
        <f ca="1">SUM(AB$7:AB189)</f>
        <v>0</v>
      </c>
      <c r="BO189" s="46">
        <f ca="1">SUM(AC$7:AC188)</f>
        <v>0</v>
      </c>
      <c r="BP189" s="24">
        <f t="shared" ca="1" si="124"/>
        <v>0</v>
      </c>
      <c r="BR189" s="24">
        <f ca="1">SUM(AH$7:AH189)</f>
        <v>0</v>
      </c>
      <c r="BS189" s="46">
        <f ca="1">SUM(AI$7:AI188)</f>
        <v>0</v>
      </c>
      <c r="BT189" s="24">
        <f t="shared" ca="1" si="125"/>
        <v>0</v>
      </c>
    </row>
    <row r="190" spans="1:72" s="12" customFormat="1">
      <c r="A190" s="202">
        <f>Kontenplan!C192</f>
        <v>0</v>
      </c>
      <c r="B190" s="224">
        <f>Kontenplan!E192</f>
        <v>0</v>
      </c>
      <c r="C190" s="225">
        <f>Kontenplan!F192</f>
        <v>0</v>
      </c>
      <c r="D190" s="43">
        <f>IF(B190=0,0,SUMIF(Journal!$F$7:$F$83,Calc!B190,Journal!$I$7:$I$83))</f>
        <v>0</v>
      </c>
      <c r="E190" s="15">
        <f>IF(B190=0,0,SUMIF(Journal!$G$7:$M264,Calc!B190,Journal!$I$7:$I$83))</f>
        <v>0</v>
      </c>
      <c r="F190" s="44">
        <f t="shared" si="89"/>
        <v>0</v>
      </c>
      <c r="G190" s="15">
        <f t="shared" si="90"/>
        <v>0</v>
      </c>
      <c r="H190" s="14" t="str">
        <f t="shared" si="91"/>
        <v xml:space="preserve"> </v>
      </c>
      <c r="I190" s="43" t="str">
        <f t="shared" si="92"/>
        <v xml:space="preserve"> </v>
      </c>
      <c r="J190" s="45" t="str">
        <f t="shared" si="93"/>
        <v xml:space="preserve"> </v>
      </c>
      <c r="K190" s="48" t="str">
        <f t="shared" si="94"/>
        <v xml:space="preserve"> </v>
      </c>
      <c r="L190" s="45" t="str">
        <f t="shared" si="95"/>
        <v xml:space="preserve"> </v>
      </c>
      <c r="M190" s="48" t="str">
        <f t="shared" si="96"/>
        <v xml:space="preserve"> </v>
      </c>
      <c r="N190" s="24"/>
      <c r="O190" s="12">
        <f t="shared" si="97"/>
        <v>10.034799999999919</v>
      </c>
      <c r="P190" s="12">
        <f t="shared" si="98"/>
        <v>9.0329999999999231</v>
      </c>
      <c r="Q190" s="12">
        <f t="shared" si="99"/>
        <v>31.026799999999938</v>
      </c>
      <c r="R190" s="12">
        <f t="shared" si="100"/>
        <v>29.020999999999951</v>
      </c>
      <c r="S190" s="12">
        <f t="shared" si="101"/>
        <v>0</v>
      </c>
      <c r="T190" s="12">
        <f t="shared" si="102"/>
        <v>0</v>
      </c>
      <c r="U190" s="43">
        <f>IF(OR(A190=Kontenplan!$C$3,A190=Kontenplan!$C$5),F190-G190,G190-F190)</f>
        <v>0</v>
      </c>
      <c r="V190" s="171">
        <f t="shared" si="85"/>
        <v>184</v>
      </c>
      <c r="W190" s="12">
        <f t="shared" si="86"/>
        <v>157</v>
      </c>
      <c r="X190" s="12">
        <f t="shared" si="87"/>
        <v>159</v>
      </c>
      <c r="Y190" s="12">
        <f>IF(Z190=0,VLOOKUP(W190,Kontenplan!$Y$9:$AA$551,3),"")</f>
        <v>0</v>
      </c>
      <c r="Z190" s="12">
        <f t="shared" si="103"/>
        <v>0</v>
      </c>
      <c r="AA190" s="12" t="str">
        <f t="shared" ca="1" si="104"/>
        <v/>
      </c>
      <c r="AB190" s="46" t="str">
        <f t="shared" ca="1" si="105"/>
        <v/>
      </c>
      <c r="AC190" s="46" t="str">
        <f t="shared" ca="1" si="106"/>
        <v/>
      </c>
      <c r="AD190" s="47"/>
      <c r="AE190" s="12">
        <f>IF(AF190=0,VLOOKUP(X190,Kontenplan!$Z$9:$AB$551,3),"")</f>
        <v>0</v>
      </c>
      <c r="AF190" s="47">
        <f t="shared" si="107"/>
        <v>0</v>
      </c>
      <c r="AG190" s="12" t="str">
        <f t="shared" ca="1" si="108"/>
        <v/>
      </c>
      <c r="AH190" s="46" t="str">
        <f t="shared" ca="1" si="109"/>
        <v/>
      </c>
      <c r="AI190" s="46" t="str">
        <f t="shared" ca="1" si="110"/>
        <v/>
      </c>
      <c r="AJ190" s="46"/>
      <c r="AK190" s="147">
        <f t="shared" ca="1" si="111"/>
        <v>2.0174000000000367</v>
      </c>
      <c r="AL190" s="147">
        <f t="shared" si="112"/>
        <v>2.0177000000000374</v>
      </c>
      <c r="AM190" s="12" t="str">
        <f>IF(V190&lt;=AO$3,VLOOKUP(V190,Kontenplan!$A$9:$D$278,4),"")</f>
        <v/>
      </c>
      <c r="AN190" s="12">
        <f t="shared" si="113"/>
        <v>0</v>
      </c>
      <c r="AO190" s="12" t="str">
        <f t="shared" ca="1" si="114"/>
        <v/>
      </c>
      <c r="AP190" s="46" t="str">
        <f t="shared" ca="1" si="115"/>
        <v/>
      </c>
      <c r="AQ190" s="46" t="str">
        <f t="shared" ca="1" si="116"/>
        <v/>
      </c>
      <c r="AR190" s="46"/>
      <c r="AS190" s="147">
        <f t="shared" ca="1" si="117"/>
        <v>3.0173000000000365</v>
      </c>
      <c r="AT190" s="147">
        <f t="shared" si="118"/>
        <v>2.0178000000000376</v>
      </c>
      <c r="AU190" s="47" t="str">
        <f>IF(V190&lt;=AW$3,VLOOKUP(AO$3+V190,Kontenplan!$A$9:$D$278,4),"")</f>
        <v/>
      </c>
      <c r="AV190" s="12">
        <f t="shared" si="119"/>
        <v>0</v>
      </c>
      <c r="AW190" s="12" t="str">
        <f t="shared" ca="1" si="120"/>
        <v/>
      </c>
      <c r="AX190" s="46" t="str">
        <f t="shared" ca="1" si="88"/>
        <v/>
      </c>
      <c r="AY190" s="46" t="str">
        <f t="shared" ca="1" si="121"/>
        <v/>
      </c>
      <c r="BA190" s="12">
        <f>Kontenplan!R192</f>
        <v>3</v>
      </c>
      <c r="BB190" s="12">
        <f>Kontenplan!S192</f>
        <v>2</v>
      </c>
      <c r="BC190" s="12">
        <f>Kontenplan!T192</f>
        <v>4</v>
      </c>
      <c r="BD190" s="170">
        <f>Kontenplan!U192</f>
        <v>4</v>
      </c>
      <c r="BF190" s="24">
        <f ca="1">SUM(AP$7:AP190)</f>
        <v>0</v>
      </c>
      <c r="BG190" s="46">
        <f ca="1">SUM(AQ$7:AQ189)</f>
        <v>0</v>
      </c>
      <c r="BH190" s="24">
        <f t="shared" ca="1" si="122"/>
        <v>0</v>
      </c>
      <c r="BI190" s="24"/>
      <c r="BJ190" s="24">
        <f ca="1">SUM(AX$7:AX190)</f>
        <v>0</v>
      </c>
      <c r="BK190" s="24">
        <f ca="1">SUM(AY$7:AY189)</f>
        <v>0</v>
      </c>
      <c r="BL190" s="24">
        <f t="shared" ca="1" si="123"/>
        <v>0</v>
      </c>
      <c r="BN190" s="24">
        <f ca="1">SUM(AB$7:AB190)</f>
        <v>0</v>
      </c>
      <c r="BO190" s="46">
        <f ca="1">SUM(AC$7:AC189)</f>
        <v>0</v>
      </c>
      <c r="BP190" s="24">
        <f t="shared" ca="1" si="124"/>
        <v>0</v>
      </c>
      <c r="BR190" s="24">
        <f ca="1">SUM(AH$7:AH190)</f>
        <v>0</v>
      </c>
      <c r="BS190" s="46">
        <f ca="1">SUM(AI$7:AI189)</f>
        <v>0</v>
      </c>
      <c r="BT190" s="24">
        <f t="shared" ca="1" si="125"/>
        <v>0</v>
      </c>
    </row>
    <row r="191" spans="1:72" s="12" customFormat="1">
      <c r="A191" s="202">
        <f>Kontenplan!C193</f>
        <v>0</v>
      </c>
      <c r="B191" s="224">
        <f>Kontenplan!E193</f>
        <v>0</v>
      </c>
      <c r="C191" s="225">
        <f>Kontenplan!F193</f>
        <v>0</v>
      </c>
      <c r="D191" s="43">
        <f>IF(B191=0,0,SUMIF(Journal!$F$7:$F$83,Calc!B191,Journal!$I$7:$I$83))</f>
        <v>0</v>
      </c>
      <c r="E191" s="15">
        <f>IF(B191=0,0,SUMIF(Journal!$G$7:$M265,Calc!B191,Journal!$I$7:$I$83))</f>
        <v>0</v>
      </c>
      <c r="F191" s="44">
        <f t="shared" si="89"/>
        <v>0</v>
      </c>
      <c r="G191" s="15">
        <f t="shared" si="90"/>
        <v>0</v>
      </c>
      <c r="H191" s="14" t="str">
        <f t="shared" si="91"/>
        <v xml:space="preserve"> </v>
      </c>
      <c r="I191" s="43" t="str">
        <f t="shared" si="92"/>
        <v xml:space="preserve"> </v>
      </c>
      <c r="J191" s="45" t="str">
        <f t="shared" si="93"/>
        <v xml:space="preserve"> </v>
      </c>
      <c r="K191" s="48" t="str">
        <f t="shared" si="94"/>
        <v xml:space="preserve"> </v>
      </c>
      <c r="L191" s="45" t="str">
        <f t="shared" si="95"/>
        <v xml:space="preserve"> </v>
      </c>
      <c r="M191" s="48" t="str">
        <f t="shared" si="96"/>
        <v xml:space="preserve"> </v>
      </c>
      <c r="N191" s="24"/>
      <c r="O191" s="12">
        <f t="shared" si="97"/>
        <v>10.034999999999918</v>
      </c>
      <c r="P191" s="12">
        <f t="shared" si="98"/>
        <v>9.0331999999999226</v>
      </c>
      <c r="Q191" s="12">
        <f t="shared" si="99"/>
        <v>31.026999999999937</v>
      </c>
      <c r="R191" s="12">
        <f t="shared" si="100"/>
        <v>29.021199999999951</v>
      </c>
      <c r="S191" s="12">
        <f t="shared" si="101"/>
        <v>0</v>
      </c>
      <c r="T191" s="12">
        <f t="shared" si="102"/>
        <v>0</v>
      </c>
      <c r="U191" s="43">
        <f>IF(OR(A191=Kontenplan!$C$3,A191=Kontenplan!$C$5),F191-G191,G191-F191)</f>
        <v>0</v>
      </c>
      <c r="V191" s="171">
        <f t="shared" si="85"/>
        <v>185</v>
      </c>
      <c r="W191" s="12">
        <f t="shared" si="86"/>
        <v>158</v>
      </c>
      <c r="X191" s="12">
        <f t="shared" si="87"/>
        <v>160</v>
      </c>
      <c r="Y191" s="12">
        <f>IF(Z191=0,VLOOKUP(W191,Kontenplan!$Y$9:$AA$551,3),"")</f>
        <v>0</v>
      </c>
      <c r="Z191" s="12">
        <f t="shared" si="103"/>
        <v>0</v>
      </c>
      <c r="AA191" s="12" t="str">
        <f t="shared" ca="1" si="104"/>
        <v/>
      </c>
      <c r="AB191" s="46" t="str">
        <f t="shared" ca="1" si="105"/>
        <v/>
      </c>
      <c r="AC191" s="46" t="str">
        <f t="shared" ca="1" si="106"/>
        <v/>
      </c>
      <c r="AD191" s="47"/>
      <c r="AE191" s="12">
        <f>IF(AF191=0,VLOOKUP(X191,Kontenplan!$Z$9:$AB$551,3),"")</f>
        <v>0</v>
      </c>
      <c r="AF191" s="47">
        <f t="shared" si="107"/>
        <v>0</v>
      </c>
      <c r="AG191" s="12" t="str">
        <f t="shared" ca="1" si="108"/>
        <v/>
      </c>
      <c r="AH191" s="46" t="str">
        <f t="shared" ca="1" si="109"/>
        <v/>
      </c>
      <c r="AI191" s="46" t="str">
        <f t="shared" ca="1" si="110"/>
        <v/>
      </c>
      <c r="AJ191" s="46"/>
      <c r="AK191" s="147">
        <f t="shared" ca="1" si="111"/>
        <v>2.0175000000000369</v>
      </c>
      <c r="AL191" s="147">
        <f t="shared" si="112"/>
        <v>2.0178000000000376</v>
      </c>
      <c r="AM191" s="12" t="str">
        <f>IF(V191&lt;=AO$3,VLOOKUP(V191,Kontenplan!$A$9:$D$278,4),"")</f>
        <v/>
      </c>
      <c r="AN191" s="12">
        <f t="shared" si="113"/>
        <v>0</v>
      </c>
      <c r="AO191" s="12" t="str">
        <f t="shared" ca="1" si="114"/>
        <v/>
      </c>
      <c r="AP191" s="46" t="str">
        <f t="shared" ca="1" si="115"/>
        <v/>
      </c>
      <c r="AQ191" s="46" t="str">
        <f t="shared" ca="1" si="116"/>
        <v/>
      </c>
      <c r="AR191" s="46"/>
      <c r="AS191" s="147">
        <f t="shared" ca="1" si="117"/>
        <v>3.0174000000000367</v>
      </c>
      <c r="AT191" s="147">
        <f t="shared" si="118"/>
        <v>2.0179000000000378</v>
      </c>
      <c r="AU191" s="47" t="str">
        <f>IF(V191&lt;=AW$3,VLOOKUP(AO$3+V191,Kontenplan!$A$9:$D$278,4),"")</f>
        <v/>
      </c>
      <c r="AV191" s="12">
        <f t="shared" si="119"/>
        <v>0</v>
      </c>
      <c r="AW191" s="12" t="str">
        <f t="shared" ca="1" si="120"/>
        <v/>
      </c>
      <c r="AX191" s="46" t="str">
        <f t="shared" ca="1" si="88"/>
        <v/>
      </c>
      <c r="AY191" s="46" t="str">
        <f t="shared" ca="1" si="121"/>
        <v/>
      </c>
      <c r="BA191" s="12">
        <f>Kontenplan!R193</f>
        <v>3</v>
      </c>
      <c r="BB191" s="12">
        <f>Kontenplan!S193</f>
        <v>2</v>
      </c>
      <c r="BC191" s="12">
        <f>Kontenplan!T193</f>
        <v>4</v>
      </c>
      <c r="BD191" s="170">
        <f>Kontenplan!U193</f>
        <v>4</v>
      </c>
      <c r="BF191" s="24">
        <f ca="1">SUM(AP$7:AP191)</f>
        <v>0</v>
      </c>
      <c r="BG191" s="46">
        <f ca="1">SUM(AQ$7:AQ190)</f>
        <v>0</v>
      </c>
      <c r="BH191" s="24">
        <f t="shared" ca="1" si="122"/>
        <v>0</v>
      </c>
      <c r="BI191" s="24"/>
      <c r="BJ191" s="24">
        <f ca="1">SUM(AX$7:AX191)</f>
        <v>0</v>
      </c>
      <c r="BK191" s="24">
        <f ca="1">SUM(AY$7:AY190)</f>
        <v>0</v>
      </c>
      <c r="BL191" s="24">
        <f t="shared" ca="1" si="123"/>
        <v>0</v>
      </c>
      <c r="BN191" s="24">
        <f ca="1">SUM(AB$7:AB191)</f>
        <v>0</v>
      </c>
      <c r="BO191" s="46">
        <f ca="1">SUM(AC$7:AC190)</f>
        <v>0</v>
      </c>
      <c r="BP191" s="24">
        <f t="shared" ca="1" si="124"/>
        <v>0</v>
      </c>
      <c r="BR191" s="24">
        <f ca="1">SUM(AH$7:AH191)</f>
        <v>0</v>
      </c>
      <c r="BS191" s="46">
        <f ca="1">SUM(AI$7:AI190)</f>
        <v>0</v>
      </c>
      <c r="BT191" s="24">
        <f t="shared" ca="1" si="125"/>
        <v>0</v>
      </c>
    </row>
    <row r="192" spans="1:72" s="12" customFormat="1">
      <c r="A192" s="202">
        <f>Kontenplan!C194</f>
        <v>0</v>
      </c>
      <c r="B192" s="224">
        <f>Kontenplan!E194</f>
        <v>0</v>
      </c>
      <c r="C192" s="225">
        <f>Kontenplan!F194</f>
        <v>0</v>
      </c>
      <c r="D192" s="43">
        <f>IF(B192=0,0,SUMIF(Journal!$F$7:$F$83,Calc!B192,Journal!$I$7:$I$83))</f>
        <v>0</v>
      </c>
      <c r="E192" s="15">
        <f>IF(B192=0,0,SUMIF(Journal!$G$7:$M266,Calc!B192,Journal!$I$7:$I$83))</f>
        <v>0</v>
      </c>
      <c r="F192" s="44">
        <f t="shared" si="89"/>
        <v>0</v>
      </c>
      <c r="G192" s="15">
        <f t="shared" si="90"/>
        <v>0</v>
      </c>
      <c r="H192" s="14" t="str">
        <f t="shared" si="91"/>
        <v xml:space="preserve"> </v>
      </c>
      <c r="I192" s="43" t="str">
        <f t="shared" si="92"/>
        <v xml:space="preserve"> </v>
      </c>
      <c r="J192" s="45" t="str">
        <f t="shared" si="93"/>
        <v xml:space="preserve"> </v>
      </c>
      <c r="K192" s="48" t="str">
        <f t="shared" si="94"/>
        <v xml:space="preserve"> </v>
      </c>
      <c r="L192" s="45" t="str">
        <f t="shared" si="95"/>
        <v xml:space="preserve"> </v>
      </c>
      <c r="M192" s="48" t="str">
        <f t="shared" si="96"/>
        <v xml:space="preserve"> </v>
      </c>
      <c r="N192" s="24"/>
      <c r="O192" s="12">
        <f t="shared" si="97"/>
        <v>10.035199999999918</v>
      </c>
      <c r="P192" s="12">
        <f t="shared" si="98"/>
        <v>9.0333999999999222</v>
      </c>
      <c r="Q192" s="12">
        <f t="shared" si="99"/>
        <v>31.027199999999937</v>
      </c>
      <c r="R192" s="12">
        <f t="shared" si="100"/>
        <v>29.02139999999995</v>
      </c>
      <c r="S192" s="12">
        <f t="shared" si="101"/>
        <v>0</v>
      </c>
      <c r="T192" s="12">
        <f t="shared" si="102"/>
        <v>0</v>
      </c>
      <c r="U192" s="43">
        <f>IF(OR(A192=Kontenplan!$C$3,A192=Kontenplan!$C$5),F192-G192,G192-F192)</f>
        <v>0</v>
      </c>
      <c r="V192" s="171">
        <f t="shared" si="85"/>
        <v>186</v>
      </c>
      <c r="W192" s="12">
        <f t="shared" si="86"/>
        <v>159</v>
      </c>
      <c r="X192" s="12">
        <f t="shared" si="87"/>
        <v>161</v>
      </c>
      <c r="Y192" s="12">
        <f>IF(Z192=0,VLOOKUP(W192,Kontenplan!$Y$9:$AA$551,3),"")</f>
        <v>0</v>
      </c>
      <c r="Z192" s="12">
        <f t="shared" si="103"/>
        <v>0</v>
      </c>
      <c r="AA192" s="12" t="str">
        <f t="shared" ca="1" si="104"/>
        <v/>
      </c>
      <c r="AB192" s="46" t="str">
        <f t="shared" ca="1" si="105"/>
        <v/>
      </c>
      <c r="AC192" s="46" t="str">
        <f t="shared" ca="1" si="106"/>
        <v/>
      </c>
      <c r="AD192" s="47"/>
      <c r="AE192" s="12">
        <f>IF(AF192=0,VLOOKUP(X192,Kontenplan!$Z$9:$AB$551,3),"")</f>
        <v>0</v>
      </c>
      <c r="AF192" s="47">
        <f t="shared" si="107"/>
        <v>0</v>
      </c>
      <c r="AG192" s="12" t="str">
        <f t="shared" ca="1" si="108"/>
        <v/>
      </c>
      <c r="AH192" s="46" t="str">
        <f t="shared" ca="1" si="109"/>
        <v/>
      </c>
      <c r="AI192" s="46" t="str">
        <f t="shared" ca="1" si="110"/>
        <v/>
      </c>
      <c r="AJ192" s="46"/>
      <c r="AK192" s="147">
        <f t="shared" ca="1" si="111"/>
        <v>2.0176000000000371</v>
      </c>
      <c r="AL192" s="147">
        <f t="shared" si="112"/>
        <v>2.0179000000000378</v>
      </c>
      <c r="AM192" s="12" t="str">
        <f>IF(V192&lt;=AO$3,VLOOKUP(V192,Kontenplan!$A$9:$D$278,4),"")</f>
        <v/>
      </c>
      <c r="AN192" s="12">
        <f t="shared" si="113"/>
        <v>0</v>
      </c>
      <c r="AO192" s="12" t="str">
        <f t="shared" ca="1" si="114"/>
        <v/>
      </c>
      <c r="AP192" s="46" t="str">
        <f t="shared" ca="1" si="115"/>
        <v/>
      </c>
      <c r="AQ192" s="46" t="str">
        <f t="shared" ca="1" si="116"/>
        <v/>
      </c>
      <c r="AR192" s="46"/>
      <c r="AS192" s="147">
        <f t="shared" ca="1" si="117"/>
        <v>3.0175000000000369</v>
      </c>
      <c r="AT192" s="147">
        <f t="shared" si="118"/>
        <v>2.018000000000038</v>
      </c>
      <c r="AU192" s="47" t="str">
        <f>IF(V192&lt;=AW$3,VLOOKUP(AO$3+V192,Kontenplan!$A$9:$D$278,4),"")</f>
        <v/>
      </c>
      <c r="AV192" s="12">
        <f t="shared" si="119"/>
        <v>0</v>
      </c>
      <c r="AW192" s="12" t="str">
        <f t="shared" ca="1" si="120"/>
        <v/>
      </c>
      <c r="AX192" s="46" t="str">
        <f t="shared" ca="1" si="88"/>
        <v/>
      </c>
      <c r="AY192" s="46" t="str">
        <f t="shared" ca="1" si="121"/>
        <v/>
      </c>
      <c r="BA192" s="12">
        <f>Kontenplan!R194</f>
        <v>3</v>
      </c>
      <c r="BB192" s="12">
        <f>Kontenplan!S194</f>
        <v>2</v>
      </c>
      <c r="BC192" s="12">
        <f>Kontenplan!T194</f>
        <v>4</v>
      </c>
      <c r="BD192" s="170">
        <f>Kontenplan!U194</f>
        <v>4</v>
      </c>
      <c r="BF192" s="24">
        <f ca="1">SUM(AP$7:AP192)</f>
        <v>0</v>
      </c>
      <c r="BG192" s="46">
        <f ca="1">SUM(AQ$7:AQ191)</f>
        <v>0</v>
      </c>
      <c r="BH192" s="24">
        <f t="shared" ca="1" si="122"/>
        <v>0</v>
      </c>
      <c r="BI192" s="24"/>
      <c r="BJ192" s="24">
        <f ca="1">SUM(AX$7:AX192)</f>
        <v>0</v>
      </c>
      <c r="BK192" s="24">
        <f ca="1">SUM(AY$7:AY191)</f>
        <v>0</v>
      </c>
      <c r="BL192" s="24">
        <f t="shared" ca="1" si="123"/>
        <v>0</v>
      </c>
      <c r="BN192" s="24">
        <f ca="1">SUM(AB$7:AB192)</f>
        <v>0</v>
      </c>
      <c r="BO192" s="46">
        <f ca="1">SUM(AC$7:AC191)</f>
        <v>0</v>
      </c>
      <c r="BP192" s="24">
        <f t="shared" ca="1" si="124"/>
        <v>0</v>
      </c>
      <c r="BR192" s="24">
        <f ca="1">SUM(AH$7:AH192)</f>
        <v>0</v>
      </c>
      <c r="BS192" s="46">
        <f ca="1">SUM(AI$7:AI191)</f>
        <v>0</v>
      </c>
      <c r="BT192" s="24">
        <f t="shared" ca="1" si="125"/>
        <v>0</v>
      </c>
    </row>
    <row r="193" spans="1:72" s="12" customFormat="1">
      <c r="A193" s="202">
        <f>Kontenplan!C195</f>
        <v>0</v>
      </c>
      <c r="B193" s="224">
        <f>Kontenplan!E195</f>
        <v>0</v>
      </c>
      <c r="C193" s="225">
        <f>Kontenplan!F195</f>
        <v>0</v>
      </c>
      <c r="D193" s="43">
        <f>IF(B193=0,0,SUMIF(Journal!$F$7:$F$83,Calc!B193,Journal!$I$7:$I$83))</f>
        <v>0</v>
      </c>
      <c r="E193" s="15">
        <f>IF(B193=0,0,SUMIF(Journal!$G$7:$M267,Calc!B193,Journal!$I$7:$I$83))</f>
        <v>0</v>
      </c>
      <c r="F193" s="44">
        <f t="shared" si="89"/>
        <v>0</v>
      </c>
      <c r="G193" s="15">
        <f t="shared" si="90"/>
        <v>0</v>
      </c>
      <c r="H193" s="14" t="str">
        <f t="shared" si="91"/>
        <v xml:space="preserve"> </v>
      </c>
      <c r="I193" s="43" t="str">
        <f t="shared" si="92"/>
        <v xml:space="preserve"> </v>
      </c>
      <c r="J193" s="45" t="str">
        <f t="shared" si="93"/>
        <v xml:space="preserve"> </v>
      </c>
      <c r="K193" s="48" t="str">
        <f t="shared" si="94"/>
        <v xml:space="preserve"> </v>
      </c>
      <c r="L193" s="45" t="str">
        <f t="shared" si="95"/>
        <v xml:space="preserve"> </v>
      </c>
      <c r="M193" s="48" t="str">
        <f t="shared" si="96"/>
        <v xml:space="preserve"> </v>
      </c>
      <c r="N193" s="24"/>
      <c r="O193" s="12">
        <f t="shared" si="97"/>
        <v>10.035399999999917</v>
      </c>
      <c r="P193" s="12">
        <f t="shared" si="98"/>
        <v>9.0335999999999217</v>
      </c>
      <c r="Q193" s="12">
        <f t="shared" si="99"/>
        <v>31.027399999999936</v>
      </c>
      <c r="R193" s="12">
        <f t="shared" si="100"/>
        <v>29.02159999999995</v>
      </c>
      <c r="S193" s="12">
        <f t="shared" si="101"/>
        <v>0</v>
      </c>
      <c r="T193" s="12">
        <f t="shared" si="102"/>
        <v>0</v>
      </c>
      <c r="U193" s="43">
        <f>IF(OR(A193=Kontenplan!$C$3,A193=Kontenplan!$C$5),F193-G193,G193-F193)</f>
        <v>0</v>
      </c>
      <c r="V193" s="171">
        <f t="shared" si="85"/>
        <v>187</v>
      </c>
      <c r="W193" s="12">
        <f t="shared" si="86"/>
        <v>160</v>
      </c>
      <c r="X193" s="12">
        <f t="shared" si="87"/>
        <v>162</v>
      </c>
      <c r="Y193" s="12">
        <f>IF(Z193=0,VLOOKUP(W193,Kontenplan!$Y$9:$AA$551,3),"")</f>
        <v>0</v>
      </c>
      <c r="Z193" s="12">
        <f t="shared" si="103"/>
        <v>0</v>
      </c>
      <c r="AA193" s="12" t="str">
        <f t="shared" ca="1" si="104"/>
        <v/>
      </c>
      <c r="AB193" s="46" t="str">
        <f t="shared" ca="1" si="105"/>
        <v/>
      </c>
      <c r="AC193" s="46" t="str">
        <f t="shared" ca="1" si="106"/>
        <v/>
      </c>
      <c r="AD193" s="47"/>
      <c r="AE193" s="12">
        <f>IF(AF193=0,VLOOKUP(X193,Kontenplan!$Z$9:$AB$551,3),"")</f>
        <v>0</v>
      </c>
      <c r="AF193" s="47">
        <f t="shared" si="107"/>
        <v>0</v>
      </c>
      <c r="AG193" s="12" t="str">
        <f t="shared" ca="1" si="108"/>
        <v/>
      </c>
      <c r="AH193" s="46" t="str">
        <f t="shared" ca="1" si="109"/>
        <v/>
      </c>
      <c r="AI193" s="46" t="str">
        <f t="shared" ca="1" si="110"/>
        <v/>
      </c>
      <c r="AJ193" s="46"/>
      <c r="AK193" s="147">
        <f t="shared" ca="1" si="111"/>
        <v>2.0177000000000374</v>
      </c>
      <c r="AL193" s="147">
        <f t="shared" si="112"/>
        <v>2.018000000000038</v>
      </c>
      <c r="AM193" s="12" t="str">
        <f>IF(V193&lt;=AO$3,VLOOKUP(V193,Kontenplan!$A$9:$D$278,4),"")</f>
        <v/>
      </c>
      <c r="AN193" s="12">
        <f t="shared" si="113"/>
        <v>0</v>
      </c>
      <c r="AO193" s="12" t="str">
        <f t="shared" ca="1" si="114"/>
        <v/>
      </c>
      <c r="AP193" s="46" t="str">
        <f t="shared" ca="1" si="115"/>
        <v/>
      </c>
      <c r="AQ193" s="46" t="str">
        <f t="shared" ca="1" si="116"/>
        <v/>
      </c>
      <c r="AR193" s="46"/>
      <c r="AS193" s="147">
        <f t="shared" ca="1" si="117"/>
        <v>3.0176000000000371</v>
      </c>
      <c r="AT193" s="147">
        <f t="shared" si="118"/>
        <v>2.0181000000000382</v>
      </c>
      <c r="AU193" s="47" t="str">
        <f>IF(V193&lt;=AW$3,VLOOKUP(AO$3+V193,Kontenplan!$A$9:$D$278,4),"")</f>
        <v/>
      </c>
      <c r="AV193" s="12">
        <f t="shared" si="119"/>
        <v>0</v>
      </c>
      <c r="AW193" s="12" t="str">
        <f t="shared" ca="1" si="120"/>
        <v/>
      </c>
      <c r="AX193" s="46" t="str">
        <f t="shared" ca="1" si="88"/>
        <v/>
      </c>
      <c r="AY193" s="46" t="str">
        <f t="shared" ca="1" si="121"/>
        <v/>
      </c>
      <c r="BA193" s="12">
        <f>Kontenplan!R195</f>
        <v>3</v>
      </c>
      <c r="BB193" s="12">
        <f>Kontenplan!S195</f>
        <v>2</v>
      </c>
      <c r="BC193" s="12">
        <f>Kontenplan!T195</f>
        <v>4</v>
      </c>
      <c r="BD193" s="170">
        <f>Kontenplan!U195</f>
        <v>4</v>
      </c>
      <c r="BF193" s="24">
        <f ca="1">SUM(AP$7:AP193)</f>
        <v>0</v>
      </c>
      <c r="BG193" s="46">
        <f ca="1">SUM(AQ$7:AQ192)</f>
        <v>0</v>
      </c>
      <c r="BH193" s="24">
        <f t="shared" ca="1" si="122"/>
        <v>0</v>
      </c>
      <c r="BI193" s="24"/>
      <c r="BJ193" s="24">
        <f ca="1">SUM(AX$7:AX193)</f>
        <v>0</v>
      </c>
      <c r="BK193" s="24">
        <f ca="1">SUM(AY$7:AY192)</f>
        <v>0</v>
      </c>
      <c r="BL193" s="24">
        <f t="shared" ca="1" si="123"/>
        <v>0</v>
      </c>
      <c r="BN193" s="24">
        <f ca="1">SUM(AB$7:AB193)</f>
        <v>0</v>
      </c>
      <c r="BO193" s="46">
        <f ca="1">SUM(AC$7:AC192)</f>
        <v>0</v>
      </c>
      <c r="BP193" s="24">
        <f t="shared" ca="1" si="124"/>
        <v>0</v>
      </c>
      <c r="BR193" s="24">
        <f ca="1">SUM(AH$7:AH193)</f>
        <v>0</v>
      </c>
      <c r="BS193" s="46">
        <f ca="1">SUM(AI$7:AI192)</f>
        <v>0</v>
      </c>
      <c r="BT193" s="24">
        <f t="shared" ca="1" si="125"/>
        <v>0</v>
      </c>
    </row>
    <row r="194" spans="1:72" s="12" customFormat="1" ht="12.75" customHeight="1">
      <c r="A194" s="202">
        <f>Kontenplan!C196</f>
        <v>0</v>
      </c>
      <c r="B194" s="224">
        <f>Kontenplan!E196</f>
        <v>0</v>
      </c>
      <c r="C194" s="225">
        <f>Kontenplan!F196</f>
        <v>0</v>
      </c>
      <c r="D194" s="43">
        <f>IF(B194=0,0,SUMIF(Journal!$F$7:$F$83,Calc!B194,Journal!$I$7:$I$83))</f>
        <v>0</v>
      </c>
      <c r="E194" s="15">
        <f>IF(B194=0,0,SUMIF(Journal!$G$7:$M268,Calc!B194,Journal!$I$7:$I$83))</f>
        <v>0</v>
      </c>
      <c r="F194" s="44">
        <f t="shared" si="89"/>
        <v>0</v>
      </c>
      <c r="G194" s="15">
        <f t="shared" si="90"/>
        <v>0</v>
      </c>
      <c r="H194" s="14" t="str">
        <f t="shared" si="91"/>
        <v xml:space="preserve"> </v>
      </c>
      <c r="I194" s="43" t="str">
        <f t="shared" si="92"/>
        <v xml:space="preserve"> </v>
      </c>
      <c r="J194" s="45" t="str">
        <f t="shared" si="93"/>
        <v xml:space="preserve"> </v>
      </c>
      <c r="K194" s="48" t="str">
        <f t="shared" si="94"/>
        <v xml:space="preserve"> </v>
      </c>
      <c r="L194" s="45" t="str">
        <f t="shared" si="95"/>
        <v xml:space="preserve"> </v>
      </c>
      <c r="M194" s="48" t="str">
        <f t="shared" si="96"/>
        <v xml:space="preserve"> </v>
      </c>
      <c r="N194" s="24"/>
      <c r="O194" s="12">
        <f t="shared" si="97"/>
        <v>10.035599999999917</v>
      </c>
      <c r="P194" s="12">
        <f t="shared" si="98"/>
        <v>9.0337999999999212</v>
      </c>
      <c r="Q194" s="12">
        <f t="shared" si="99"/>
        <v>31.027599999999936</v>
      </c>
      <c r="R194" s="12">
        <f t="shared" si="100"/>
        <v>29.021799999999949</v>
      </c>
      <c r="S194" s="12">
        <f t="shared" si="101"/>
        <v>0</v>
      </c>
      <c r="T194" s="12">
        <f t="shared" si="102"/>
        <v>0</v>
      </c>
      <c r="U194" s="43">
        <f>IF(OR(A194=Kontenplan!$C$3,A194=Kontenplan!$C$5),F194-G194,G194-F194)</f>
        <v>0</v>
      </c>
      <c r="V194" s="171">
        <f t="shared" si="85"/>
        <v>188</v>
      </c>
      <c r="W194" s="12">
        <f t="shared" si="86"/>
        <v>161</v>
      </c>
      <c r="X194" s="12">
        <f t="shared" si="87"/>
        <v>163</v>
      </c>
      <c r="Y194" s="12">
        <f>IF(Z194=0,VLOOKUP(W194,Kontenplan!$Y$9:$AA$551,3),"")</f>
        <v>0</v>
      </c>
      <c r="Z194" s="12">
        <f t="shared" si="103"/>
        <v>0</v>
      </c>
      <c r="AA194" s="12" t="str">
        <f t="shared" ca="1" si="104"/>
        <v/>
      </c>
      <c r="AB194" s="46" t="str">
        <f t="shared" ca="1" si="105"/>
        <v/>
      </c>
      <c r="AC194" s="46" t="str">
        <f t="shared" ca="1" si="106"/>
        <v/>
      </c>
      <c r="AD194" s="47"/>
      <c r="AE194" s="12">
        <f>IF(AF194=0,VLOOKUP(X194,Kontenplan!$Z$9:$AB$551,3),"")</f>
        <v>0</v>
      </c>
      <c r="AF194" s="47">
        <f t="shared" si="107"/>
        <v>0</v>
      </c>
      <c r="AG194" s="12" t="str">
        <f t="shared" ca="1" si="108"/>
        <v/>
      </c>
      <c r="AH194" s="46" t="str">
        <f t="shared" ca="1" si="109"/>
        <v/>
      </c>
      <c r="AI194" s="46" t="str">
        <f t="shared" ca="1" si="110"/>
        <v/>
      </c>
      <c r="AJ194" s="46"/>
      <c r="AK194" s="147">
        <f t="shared" ca="1" si="111"/>
        <v>2.0178000000000376</v>
      </c>
      <c r="AL194" s="147">
        <f t="shared" si="112"/>
        <v>2.0181000000000382</v>
      </c>
      <c r="AM194" s="12" t="str">
        <f>IF(V194&lt;=AO$3,VLOOKUP(V194,Kontenplan!$A$9:$D$278,4),"")</f>
        <v/>
      </c>
      <c r="AN194" s="12">
        <f t="shared" si="113"/>
        <v>0</v>
      </c>
      <c r="AO194" s="12" t="str">
        <f t="shared" ca="1" si="114"/>
        <v/>
      </c>
      <c r="AP194" s="46" t="str">
        <f t="shared" ca="1" si="115"/>
        <v/>
      </c>
      <c r="AQ194" s="46" t="str">
        <f t="shared" ca="1" si="116"/>
        <v/>
      </c>
      <c r="AR194" s="46"/>
      <c r="AS194" s="147">
        <f t="shared" ca="1" si="117"/>
        <v>3.0177000000000374</v>
      </c>
      <c r="AT194" s="147">
        <f t="shared" si="118"/>
        <v>2.0182000000000384</v>
      </c>
      <c r="AU194" s="47" t="str">
        <f>IF(V194&lt;=AW$3,VLOOKUP(AO$3+V194,Kontenplan!$A$9:$D$278,4),"")</f>
        <v/>
      </c>
      <c r="AV194" s="12">
        <f t="shared" si="119"/>
        <v>0</v>
      </c>
      <c r="AW194" s="12" t="str">
        <f t="shared" ca="1" si="120"/>
        <v/>
      </c>
      <c r="AX194" s="46" t="str">
        <f t="shared" ca="1" si="88"/>
        <v/>
      </c>
      <c r="AY194" s="46" t="str">
        <f t="shared" ca="1" si="121"/>
        <v/>
      </c>
      <c r="BA194" s="12">
        <f>Kontenplan!R196</f>
        <v>3</v>
      </c>
      <c r="BB194" s="12">
        <f>Kontenplan!S196</f>
        <v>2</v>
      </c>
      <c r="BC194" s="12">
        <f>Kontenplan!T196</f>
        <v>4</v>
      </c>
      <c r="BD194" s="170">
        <f>Kontenplan!U196</f>
        <v>4</v>
      </c>
      <c r="BF194" s="24">
        <f ca="1">SUM(AP$7:AP194)</f>
        <v>0</v>
      </c>
      <c r="BG194" s="46">
        <f ca="1">SUM(AQ$7:AQ193)</f>
        <v>0</v>
      </c>
      <c r="BH194" s="24">
        <f t="shared" ca="1" si="122"/>
        <v>0</v>
      </c>
      <c r="BI194" s="24"/>
      <c r="BJ194" s="24">
        <f ca="1">SUM(AX$7:AX194)</f>
        <v>0</v>
      </c>
      <c r="BK194" s="24">
        <f ca="1">SUM(AY$7:AY193)</f>
        <v>0</v>
      </c>
      <c r="BL194" s="24">
        <f t="shared" ca="1" si="123"/>
        <v>0</v>
      </c>
      <c r="BN194" s="24">
        <f ca="1">SUM(AB$7:AB194)</f>
        <v>0</v>
      </c>
      <c r="BO194" s="46">
        <f ca="1">SUM(AC$7:AC193)</f>
        <v>0</v>
      </c>
      <c r="BP194" s="24">
        <f t="shared" ca="1" si="124"/>
        <v>0</v>
      </c>
      <c r="BR194" s="24">
        <f ca="1">SUM(AH$7:AH194)</f>
        <v>0</v>
      </c>
      <c r="BS194" s="46">
        <f ca="1">SUM(AI$7:AI193)</f>
        <v>0</v>
      </c>
      <c r="BT194" s="24">
        <f t="shared" ca="1" si="125"/>
        <v>0</v>
      </c>
    </row>
    <row r="195" spans="1:72" s="12" customFormat="1">
      <c r="A195" s="202">
        <f>Kontenplan!C197</f>
        <v>0</v>
      </c>
      <c r="B195" s="224">
        <f>Kontenplan!E197</f>
        <v>0</v>
      </c>
      <c r="C195" s="225">
        <f>Kontenplan!F197</f>
        <v>0</v>
      </c>
      <c r="D195" s="43">
        <f>IF(B195=0,0,SUMIF(Journal!$F$7:$F$83,Calc!B195,Journal!$I$7:$I$83))</f>
        <v>0</v>
      </c>
      <c r="E195" s="15">
        <f>IF(B195=0,0,SUMIF(Journal!$G$7:$M269,Calc!B195,Journal!$I$7:$I$83))</f>
        <v>0</v>
      </c>
      <c r="F195" s="44">
        <f t="shared" si="89"/>
        <v>0</v>
      </c>
      <c r="G195" s="15">
        <f t="shared" si="90"/>
        <v>0</v>
      </c>
      <c r="H195" s="14" t="str">
        <f t="shared" si="91"/>
        <v xml:space="preserve"> </v>
      </c>
      <c r="I195" s="43" t="str">
        <f t="shared" si="92"/>
        <v xml:space="preserve"> </v>
      </c>
      <c r="J195" s="45" t="str">
        <f t="shared" si="93"/>
        <v xml:space="preserve"> </v>
      </c>
      <c r="K195" s="48" t="str">
        <f t="shared" si="94"/>
        <v xml:space="preserve"> </v>
      </c>
      <c r="L195" s="45" t="str">
        <f t="shared" si="95"/>
        <v xml:space="preserve"> </v>
      </c>
      <c r="M195" s="48" t="str">
        <f t="shared" si="96"/>
        <v xml:space="preserve"> </v>
      </c>
      <c r="N195" s="24"/>
      <c r="O195" s="12">
        <f t="shared" si="97"/>
        <v>10.035799999999917</v>
      </c>
      <c r="P195" s="12">
        <f t="shared" si="98"/>
        <v>9.0339999999999208</v>
      </c>
      <c r="Q195" s="12">
        <f t="shared" si="99"/>
        <v>31.027799999999935</v>
      </c>
      <c r="R195" s="12">
        <f t="shared" si="100"/>
        <v>29.021999999999949</v>
      </c>
      <c r="S195" s="12">
        <f t="shared" si="101"/>
        <v>0</v>
      </c>
      <c r="T195" s="12">
        <f t="shared" si="102"/>
        <v>0</v>
      </c>
      <c r="U195" s="43">
        <f>IF(OR(A195=Kontenplan!$C$3,A195=Kontenplan!$C$5),F195-G195,G195-F195)</f>
        <v>0</v>
      </c>
      <c r="V195" s="171">
        <f t="shared" si="85"/>
        <v>189</v>
      </c>
      <c r="W195" s="12">
        <f t="shared" si="86"/>
        <v>162</v>
      </c>
      <c r="X195" s="12">
        <f t="shared" si="87"/>
        <v>164</v>
      </c>
      <c r="Y195" s="12">
        <f>IF(Z195=0,VLOOKUP(W195,Kontenplan!$Y$9:$AA$551,3),"")</f>
        <v>0</v>
      </c>
      <c r="Z195" s="12">
        <f t="shared" si="103"/>
        <v>0</v>
      </c>
      <c r="AA195" s="12" t="str">
        <f t="shared" ca="1" si="104"/>
        <v/>
      </c>
      <c r="AB195" s="46" t="str">
        <f t="shared" ca="1" si="105"/>
        <v/>
      </c>
      <c r="AC195" s="46" t="str">
        <f t="shared" ca="1" si="106"/>
        <v/>
      </c>
      <c r="AD195" s="47"/>
      <c r="AE195" s="12">
        <f>IF(AF195=0,VLOOKUP(X195,Kontenplan!$Z$9:$AB$551,3),"")</f>
        <v>0</v>
      </c>
      <c r="AF195" s="47">
        <f t="shared" si="107"/>
        <v>0</v>
      </c>
      <c r="AG195" s="12" t="str">
        <f t="shared" ca="1" si="108"/>
        <v/>
      </c>
      <c r="AH195" s="46" t="str">
        <f t="shared" ca="1" si="109"/>
        <v/>
      </c>
      <c r="AI195" s="46" t="str">
        <f t="shared" ca="1" si="110"/>
        <v/>
      </c>
      <c r="AJ195" s="46"/>
      <c r="AK195" s="147">
        <f t="shared" ca="1" si="111"/>
        <v>2.0179000000000378</v>
      </c>
      <c r="AL195" s="147">
        <f t="shared" si="112"/>
        <v>2.0182000000000384</v>
      </c>
      <c r="AM195" s="12" t="str">
        <f>IF(V195&lt;=AO$3,VLOOKUP(V195,Kontenplan!$A$9:$D$278,4),"")</f>
        <v/>
      </c>
      <c r="AN195" s="12">
        <f t="shared" si="113"/>
        <v>0</v>
      </c>
      <c r="AO195" s="12" t="str">
        <f t="shared" ca="1" si="114"/>
        <v/>
      </c>
      <c r="AP195" s="46" t="str">
        <f t="shared" ca="1" si="115"/>
        <v/>
      </c>
      <c r="AQ195" s="46" t="str">
        <f t="shared" ca="1" si="116"/>
        <v/>
      </c>
      <c r="AR195" s="46"/>
      <c r="AS195" s="147">
        <f t="shared" ca="1" si="117"/>
        <v>3.0178000000000376</v>
      </c>
      <c r="AT195" s="147">
        <f t="shared" si="118"/>
        <v>2.0183000000000386</v>
      </c>
      <c r="AU195" s="47" t="str">
        <f>IF(V195&lt;=AW$3,VLOOKUP(AO$3+V195,Kontenplan!$A$9:$D$278,4),"")</f>
        <v/>
      </c>
      <c r="AV195" s="12">
        <f t="shared" si="119"/>
        <v>0</v>
      </c>
      <c r="AW195" s="12" t="str">
        <f t="shared" ca="1" si="120"/>
        <v/>
      </c>
      <c r="AX195" s="46" t="str">
        <f t="shared" ca="1" si="88"/>
        <v/>
      </c>
      <c r="AY195" s="46" t="str">
        <f t="shared" ca="1" si="121"/>
        <v/>
      </c>
      <c r="BA195" s="12">
        <f>Kontenplan!R197</f>
        <v>3</v>
      </c>
      <c r="BB195" s="12">
        <f>Kontenplan!S197</f>
        <v>2</v>
      </c>
      <c r="BC195" s="12">
        <f>Kontenplan!T197</f>
        <v>4</v>
      </c>
      <c r="BD195" s="170">
        <f>Kontenplan!U197</f>
        <v>4</v>
      </c>
      <c r="BF195" s="24">
        <f ca="1">SUM(AP$7:AP195)</f>
        <v>0</v>
      </c>
      <c r="BG195" s="46">
        <f ca="1">SUM(AQ$7:AQ194)</f>
        <v>0</v>
      </c>
      <c r="BH195" s="24">
        <f t="shared" ca="1" si="122"/>
        <v>0</v>
      </c>
      <c r="BI195" s="24"/>
      <c r="BJ195" s="24">
        <f ca="1">SUM(AX$7:AX195)</f>
        <v>0</v>
      </c>
      <c r="BK195" s="24">
        <f ca="1">SUM(AY$7:AY194)</f>
        <v>0</v>
      </c>
      <c r="BL195" s="24">
        <f t="shared" ca="1" si="123"/>
        <v>0</v>
      </c>
      <c r="BN195" s="24">
        <f ca="1">SUM(AB$7:AB195)</f>
        <v>0</v>
      </c>
      <c r="BO195" s="46">
        <f ca="1">SUM(AC$7:AC194)</f>
        <v>0</v>
      </c>
      <c r="BP195" s="24">
        <f t="shared" ca="1" si="124"/>
        <v>0</v>
      </c>
      <c r="BR195" s="24">
        <f ca="1">SUM(AH$7:AH195)</f>
        <v>0</v>
      </c>
      <c r="BS195" s="46">
        <f ca="1">SUM(AI$7:AI194)</f>
        <v>0</v>
      </c>
      <c r="BT195" s="24">
        <f t="shared" ca="1" si="125"/>
        <v>0</v>
      </c>
    </row>
    <row r="196" spans="1:72" s="12" customFormat="1">
      <c r="A196" s="202">
        <f>Kontenplan!C198</f>
        <v>0</v>
      </c>
      <c r="B196" s="224">
        <f>Kontenplan!E198</f>
        <v>0</v>
      </c>
      <c r="C196" s="225">
        <f>Kontenplan!F198</f>
        <v>0</v>
      </c>
      <c r="D196" s="43">
        <f>IF(B196=0,0,SUMIF(Journal!$F$7:$F$83,Calc!B196,Journal!$I$7:$I$83))</f>
        <v>0</v>
      </c>
      <c r="E196" s="15">
        <f>IF(B196=0,0,SUMIF(Journal!$G$7:$M270,Calc!B196,Journal!$I$7:$I$83))</f>
        <v>0</v>
      </c>
      <c r="F196" s="44">
        <f t="shared" si="89"/>
        <v>0</v>
      </c>
      <c r="G196" s="15">
        <f t="shared" si="90"/>
        <v>0</v>
      </c>
      <c r="H196" s="14" t="str">
        <f t="shared" si="91"/>
        <v xml:space="preserve"> </v>
      </c>
      <c r="I196" s="43" t="str">
        <f t="shared" si="92"/>
        <v xml:space="preserve"> </v>
      </c>
      <c r="J196" s="45" t="str">
        <f t="shared" si="93"/>
        <v xml:space="preserve"> </v>
      </c>
      <c r="K196" s="48" t="str">
        <f t="shared" si="94"/>
        <v xml:space="preserve"> </v>
      </c>
      <c r="L196" s="45" t="str">
        <f t="shared" si="95"/>
        <v xml:space="preserve"> </v>
      </c>
      <c r="M196" s="48" t="str">
        <f t="shared" si="96"/>
        <v xml:space="preserve"> </v>
      </c>
      <c r="N196" s="24"/>
      <c r="O196" s="12">
        <f t="shared" si="97"/>
        <v>10.035999999999916</v>
      </c>
      <c r="P196" s="12">
        <f t="shared" si="98"/>
        <v>9.0341999999999203</v>
      </c>
      <c r="Q196" s="12">
        <f t="shared" si="99"/>
        <v>31.027999999999935</v>
      </c>
      <c r="R196" s="12">
        <f t="shared" si="100"/>
        <v>29.022199999999948</v>
      </c>
      <c r="S196" s="12">
        <f t="shared" si="101"/>
        <v>0</v>
      </c>
      <c r="T196" s="12">
        <f t="shared" si="102"/>
        <v>0</v>
      </c>
      <c r="U196" s="43">
        <f>IF(OR(A196=Kontenplan!$C$3,A196=Kontenplan!$C$5),F196-G196,G196-F196)</f>
        <v>0</v>
      </c>
      <c r="V196" s="171">
        <f t="shared" si="85"/>
        <v>190</v>
      </c>
      <c r="W196" s="12">
        <f t="shared" si="86"/>
        <v>163</v>
      </c>
      <c r="X196" s="12">
        <f t="shared" si="87"/>
        <v>165</v>
      </c>
      <c r="Y196" s="12">
        <f>IF(Z196=0,VLOOKUP(W196,Kontenplan!$Y$9:$AA$551,3),"")</f>
        <v>0</v>
      </c>
      <c r="Z196" s="12">
        <f t="shared" si="103"/>
        <v>0</v>
      </c>
      <c r="AA196" s="12" t="str">
        <f t="shared" ca="1" si="104"/>
        <v/>
      </c>
      <c r="AB196" s="46" t="str">
        <f t="shared" ca="1" si="105"/>
        <v/>
      </c>
      <c r="AC196" s="46" t="str">
        <f t="shared" ca="1" si="106"/>
        <v/>
      </c>
      <c r="AD196" s="47"/>
      <c r="AE196" s="12">
        <f>IF(AF196=0,VLOOKUP(X196,Kontenplan!$Z$9:$AB$551,3),"")</f>
        <v>0</v>
      </c>
      <c r="AF196" s="47">
        <f t="shared" si="107"/>
        <v>0</v>
      </c>
      <c r="AG196" s="12" t="str">
        <f t="shared" ca="1" si="108"/>
        <v/>
      </c>
      <c r="AH196" s="46" t="str">
        <f t="shared" ca="1" si="109"/>
        <v/>
      </c>
      <c r="AI196" s="46" t="str">
        <f t="shared" ca="1" si="110"/>
        <v/>
      </c>
      <c r="AJ196" s="46"/>
      <c r="AK196" s="147">
        <f t="shared" ca="1" si="111"/>
        <v>2.018000000000038</v>
      </c>
      <c r="AL196" s="147">
        <f t="shared" si="112"/>
        <v>2.0183000000000386</v>
      </c>
      <c r="AM196" s="12" t="str">
        <f>IF(V196&lt;=AO$3,VLOOKUP(V196,Kontenplan!$A$9:$D$278,4),"")</f>
        <v/>
      </c>
      <c r="AN196" s="12">
        <f t="shared" si="113"/>
        <v>0</v>
      </c>
      <c r="AO196" s="12" t="str">
        <f t="shared" ca="1" si="114"/>
        <v/>
      </c>
      <c r="AP196" s="46" t="str">
        <f t="shared" ca="1" si="115"/>
        <v/>
      </c>
      <c r="AQ196" s="46" t="str">
        <f t="shared" ca="1" si="116"/>
        <v/>
      </c>
      <c r="AR196" s="46"/>
      <c r="AS196" s="147">
        <f t="shared" ca="1" si="117"/>
        <v>3.0179000000000378</v>
      </c>
      <c r="AT196" s="147">
        <f t="shared" si="118"/>
        <v>2.0184000000000388</v>
      </c>
      <c r="AU196" s="47" t="str">
        <f>IF(V196&lt;=AW$3,VLOOKUP(AO$3+V196,Kontenplan!$A$9:$D$278,4),"")</f>
        <v/>
      </c>
      <c r="AV196" s="12">
        <f t="shared" si="119"/>
        <v>0</v>
      </c>
      <c r="AW196" s="12" t="str">
        <f t="shared" ca="1" si="120"/>
        <v/>
      </c>
      <c r="AX196" s="46" t="str">
        <f t="shared" ca="1" si="88"/>
        <v/>
      </c>
      <c r="AY196" s="46" t="str">
        <f t="shared" ca="1" si="121"/>
        <v/>
      </c>
      <c r="BA196" s="12">
        <f>Kontenplan!R198</f>
        <v>3</v>
      </c>
      <c r="BB196" s="12">
        <f>Kontenplan!S198</f>
        <v>2</v>
      </c>
      <c r="BC196" s="12">
        <f>Kontenplan!T198</f>
        <v>4</v>
      </c>
      <c r="BD196" s="170">
        <f>Kontenplan!U198</f>
        <v>4</v>
      </c>
      <c r="BF196" s="24">
        <f ca="1">SUM(AP$7:AP196)</f>
        <v>0</v>
      </c>
      <c r="BG196" s="46">
        <f ca="1">SUM(AQ$7:AQ195)</f>
        <v>0</v>
      </c>
      <c r="BH196" s="24">
        <f t="shared" ca="1" si="122"/>
        <v>0</v>
      </c>
      <c r="BI196" s="24"/>
      <c r="BJ196" s="24">
        <f ca="1">SUM(AX$7:AX196)</f>
        <v>0</v>
      </c>
      <c r="BK196" s="24">
        <f ca="1">SUM(AY$7:AY195)</f>
        <v>0</v>
      </c>
      <c r="BL196" s="24">
        <f t="shared" ca="1" si="123"/>
        <v>0</v>
      </c>
      <c r="BN196" s="24">
        <f ca="1">SUM(AB$7:AB196)</f>
        <v>0</v>
      </c>
      <c r="BO196" s="46">
        <f ca="1">SUM(AC$7:AC195)</f>
        <v>0</v>
      </c>
      <c r="BP196" s="24">
        <f t="shared" ca="1" si="124"/>
        <v>0</v>
      </c>
      <c r="BR196" s="24">
        <f ca="1">SUM(AH$7:AH196)</f>
        <v>0</v>
      </c>
      <c r="BS196" s="46">
        <f ca="1">SUM(AI$7:AI195)</f>
        <v>0</v>
      </c>
      <c r="BT196" s="24">
        <f t="shared" ca="1" si="125"/>
        <v>0</v>
      </c>
    </row>
    <row r="197" spans="1:72" s="12" customFormat="1">
      <c r="A197" s="202">
        <f>Kontenplan!C199</f>
        <v>0</v>
      </c>
      <c r="B197" s="224">
        <f>Kontenplan!E199</f>
        <v>0</v>
      </c>
      <c r="C197" s="225">
        <f>Kontenplan!F199</f>
        <v>0</v>
      </c>
      <c r="D197" s="43">
        <f>IF(B197=0,0,SUMIF(Journal!$F$7:$F$83,Calc!B197,Journal!$I$7:$I$83))</f>
        <v>0</v>
      </c>
      <c r="E197" s="15">
        <f>IF(B197=0,0,SUMIF(Journal!$G$7:$M271,Calc!B197,Journal!$I$7:$I$83))</f>
        <v>0</v>
      </c>
      <c r="F197" s="44">
        <f t="shared" si="89"/>
        <v>0</v>
      </c>
      <c r="G197" s="15">
        <f t="shared" si="90"/>
        <v>0</v>
      </c>
      <c r="H197" s="14" t="str">
        <f t="shared" si="91"/>
        <v xml:space="preserve"> </v>
      </c>
      <c r="I197" s="43" t="str">
        <f t="shared" si="92"/>
        <v xml:space="preserve"> </v>
      </c>
      <c r="J197" s="45" t="str">
        <f t="shared" si="93"/>
        <v xml:space="preserve"> </v>
      </c>
      <c r="K197" s="48" t="str">
        <f t="shared" si="94"/>
        <v xml:space="preserve"> </v>
      </c>
      <c r="L197" s="45" t="str">
        <f t="shared" si="95"/>
        <v xml:space="preserve"> </v>
      </c>
      <c r="M197" s="48" t="str">
        <f t="shared" si="96"/>
        <v xml:space="preserve"> </v>
      </c>
      <c r="N197" s="24"/>
      <c r="O197" s="12">
        <f t="shared" si="97"/>
        <v>10.036199999999916</v>
      </c>
      <c r="P197" s="12">
        <f t="shared" si="98"/>
        <v>9.0343999999999198</v>
      </c>
      <c r="Q197" s="12">
        <f t="shared" si="99"/>
        <v>31.028199999999934</v>
      </c>
      <c r="R197" s="12">
        <f t="shared" si="100"/>
        <v>29.022399999999948</v>
      </c>
      <c r="S197" s="12">
        <f t="shared" si="101"/>
        <v>0</v>
      </c>
      <c r="T197" s="12">
        <f t="shared" si="102"/>
        <v>0</v>
      </c>
      <c r="U197" s="43">
        <f>IF(OR(A197=Kontenplan!$C$3,A197=Kontenplan!$C$5),F197-G197,G197-F197)</f>
        <v>0</v>
      </c>
      <c r="V197" s="171">
        <f t="shared" si="85"/>
        <v>191</v>
      </c>
      <c r="W197" s="12">
        <f t="shared" si="86"/>
        <v>164</v>
      </c>
      <c r="X197" s="12">
        <f t="shared" si="87"/>
        <v>166</v>
      </c>
      <c r="Y197" s="12">
        <f>IF(Z197=0,VLOOKUP(W197,Kontenplan!$Y$9:$AA$551,3),"")</f>
        <v>0</v>
      </c>
      <c r="Z197" s="12">
        <f t="shared" si="103"/>
        <v>0</v>
      </c>
      <c r="AA197" s="12" t="str">
        <f t="shared" ca="1" si="104"/>
        <v/>
      </c>
      <c r="AB197" s="46" t="str">
        <f t="shared" ca="1" si="105"/>
        <v/>
      </c>
      <c r="AC197" s="46" t="str">
        <f t="shared" ca="1" si="106"/>
        <v/>
      </c>
      <c r="AD197" s="47"/>
      <c r="AE197" s="12">
        <f>IF(AF197=0,VLOOKUP(X197,Kontenplan!$Z$9:$AB$551,3),"")</f>
        <v>0</v>
      </c>
      <c r="AF197" s="47">
        <f t="shared" si="107"/>
        <v>0</v>
      </c>
      <c r="AG197" s="12" t="str">
        <f t="shared" ca="1" si="108"/>
        <v/>
      </c>
      <c r="AH197" s="46" t="str">
        <f t="shared" ca="1" si="109"/>
        <v/>
      </c>
      <c r="AI197" s="46" t="str">
        <f t="shared" ca="1" si="110"/>
        <v/>
      </c>
      <c r="AJ197" s="46"/>
      <c r="AK197" s="147">
        <f t="shared" ca="1" si="111"/>
        <v>2.0181000000000382</v>
      </c>
      <c r="AL197" s="147">
        <f t="shared" si="112"/>
        <v>2.0184000000000388</v>
      </c>
      <c r="AM197" s="12" t="str">
        <f>IF(V197&lt;=AO$3,VLOOKUP(V197,Kontenplan!$A$9:$D$278,4),"")</f>
        <v/>
      </c>
      <c r="AN197" s="12">
        <f t="shared" si="113"/>
        <v>0</v>
      </c>
      <c r="AO197" s="12" t="str">
        <f t="shared" ca="1" si="114"/>
        <v/>
      </c>
      <c r="AP197" s="46" t="str">
        <f t="shared" ca="1" si="115"/>
        <v/>
      </c>
      <c r="AQ197" s="46" t="str">
        <f t="shared" ca="1" si="116"/>
        <v/>
      </c>
      <c r="AR197" s="46"/>
      <c r="AS197" s="147">
        <f t="shared" ca="1" si="117"/>
        <v>3.018000000000038</v>
      </c>
      <c r="AT197" s="147">
        <f t="shared" si="118"/>
        <v>2.018500000000039</v>
      </c>
      <c r="AU197" s="47" t="str">
        <f>IF(V197&lt;=AW$3,VLOOKUP(AO$3+V197,Kontenplan!$A$9:$D$278,4),"")</f>
        <v/>
      </c>
      <c r="AV197" s="12">
        <f t="shared" si="119"/>
        <v>0</v>
      </c>
      <c r="AW197" s="12" t="str">
        <f t="shared" ca="1" si="120"/>
        <v/>
      </c>
      <c r="AX197" s="46" t="str">
        <f t="shared" ca="1" si="88"/>
        <v/>
      </c>
      <c r="AY197" s="46" t="str">
        <f t="shared" ca="1" si="121"/>
        <v/>
      </c>
      <c r="BA197" s="12">
        <f>Kontenplan!R199</f>
        <v>3</v>
      </c>
      <c r="BB197" s="12">
        <f>Kontenplan!S199</f>
        <v>2</v>
      </c>
      <c r="BC197" s="12">
        <f>Kontenplan!T199</f>
        <v>4</v>
      </c>
      <c r="BD197" s="170">
        <f>Kontenplan!U199</f>
        <v>4</v>
      </c>
      <c r="BF197" s="24">
        <f ca="1">SUM(AP$7:AP197)</f>
        <v>0</v>
      </c>
      <c r="BG197" s="46">
        <f ca="1">SUM(AQ$7:AQ196)</f>
        <v>0</v>
      </c>
      <c r="BH197" s="24">
        <f t="shared" ca="1" si="122"/>
        <v>0</v>
      </c>
      <c r="BI197" s="24"/>
      <c r="BJ197" s="24">
        <f ca="1">SUM(AX$7:AX197)</f>
        <v>0</v>
      </c>
      <c r="BK197" s="24">
        <f ca="1">SUM(AY$7:AY196)</f>
        <v>0</v>
      </c>
      <c r="BL197" s="24">
        <f t="shared" ca="1" si="123"/>
        <v>0</v>
      </c>
      <c r="BN197" s="24">
        <f ca="1">SUM(AB$7:AB197)</f>
        <v>0</v>
      </c>
      <c r="BO197" s="46">
        <f ca="1">SUM(AC$7:AC196)</f>
        <v>0</v>
      </c>
      <c r="BP197" s="24">
        <f t="shared" ca="1" si="124"/>
        <v>0</v>
      </c>
      <c r="BR197" s="24">
        <f ca="1">SUM(AH$7:AH197)</f>
        <v>0</v>
      </c>
      <c r="BS197" s="46">
        <f ca="1">SUM(AI$7:AI196)</f>
        <v>0</v>
      </c>
      <c r="BT197" s="24">
        <f t="shared" ca="1" si="125"/>
        <v>0</v>
      </c>
    </row>
    <row r="198" spans="1:72" s="12" customFormat="1">
      <c r="A198" s="202">
        <f>Kontenplan!C200</f>
        <v>0</v>
      </c>
      <c r="B198" s="224">
        <f>Kontenplan!E200</f>
        <v>0</v>
      </c>
      <c r="C198" s="225">
        <f>Kontenplan!F200</f>
        <v>0</v>
      </c>
      <c r="D198" s="43">
        <f>IF(B198=0,0,SUMIF(Journal!$F$7:$F$83,Calc!B198,Journal!$I$7:$I$83))</f>
        <v>0</v>
      </c>
      <c r="E198" s="15">
        <f>IF(B198=0,0,SUMIF(Journal!$G$7:$M272,Calc!B198,Journal!$I$7:$I$83))</f>
        <v>0</v>
      </c>
      <c r="F198" s="44">
        <f t="shared" si="89"/>
        <v>0</v>
      </c>
      <c r="G198" s="15">
        <f t="shared" si="90"/>
        <v>0</v>
      </c>
      <c r="H198" s="14" t="str">
        <f t="shared" si="91"/>
        <v xml:space="preserve"> </v>
      </c>
      <c r="I198" s="43" t="str">
        <f t="shared" si="92"/>
        <v xml:space="preserve"> </v>
      </c>
      <c r="J198" s="45" t="str">
        <f t="shared" si="93"/>
        <v xml:space="preserve"> </v>
      </c>
      <c r="K198" s="48" t="str">
        <f t="shared" si="94"/>
        <v xml:space="preserve"> </v>
      </c>
      <c r="L198" s="45" t="str">
        <f t="shared" si="95"/>
        <v xml:space="preserve"> </v>
      </c>
      <c r="M198" s="48" t="str">
        <f t="shared" si="96"/>
        <v xml:space="preserve"> </v>
      </c>
      <c r="N198" s="24"/>
      <c r="O198" s="12">
        <f t="shared" si="97"/>
        <v>10.036399999999915</v>
      </c>
      <c r="P198" s="12">
        <f t="shared" si="98"/>
        <v>9.0345999999999194</v>
      </c>
      <c r="Q198" s="12">
        <f t="shared" si="99"/>
        <v>31.028399999999934</v>
      </c>
      <c r="R198" s="12">
        <f t="shared" si="100"/>
        <v>29.022599999999947</v>
      </c>
      <c r="S198" s="12">
        <f t="shared" si="101"/>
        <v>0</v>
      </c>
      <c r="T198" s="12">
        <f t="shared" si="102"/>
        <v>0</v>
      </c>
      <c r="U198" s="43">
        <f>IF(OR(A198=Kontenplan!$C$3,A198=Kontenplan!$C$5),F198-G198,G198-F198)</f>
        <v>0</v>
      </c>
      <c r="V198" s="171">
        <f t="shared" si="85"/>
        <v>192</v>
      </c>
      <c r="W198" s="12">
        <f t="shared" si="86"/>
        <v>165</v>
      </c>
      <c r="X198" s="12">
        <f t="shared" si="87"/>
        <v>167</v>
      </c>
      <c r="Y198" s="12">
        <f>IF(Z198=0,VLOOKUP(W198,Kontenplan!$Y$9:$AA$551,3),"")</f>
        <v>0</v>
      </c>
      <c r="Z198" s="12">
        <f t="shared" si="103"/>
        <v>0</v>
      </c>
      <c r="AA198" s="12" t="str">
        <f t="shared" ca="1" si="104"/>
        <v/>
      </c>
      <c r="AB198" s="46" t="str">
        <f t="shared" ca="1" si="105"/>
        <v/>
      </c>
      <c r="AC198" s="46" t="str">
        <f t="shared" ca="1" si="106"/>
        <v/>
      </c>
      <c r="AD198" s="47"/>
      <c r="AE198" s="12">
        <f>IF(AF198=0,VLOOKUP(X198,Kontenplan!$Z$9:$AB$551,3),"")</f>
        <v>0</v>
      </c>
      <c r="AF198" s="47">
        <f t="shared" si="107"/>
        <v>0</v>
      </c>
      <c r="AG198" s="12" t="str">
        <f t="shared" ca="1" si="108"/>
        <v/>
      </c>
      <c r="AH198" s="46" t="str">
        <f t="shared" ca="1" si="109"/>
        <v/>
      </c>
      <c r="AI198" s="46" t="str">
        <f t="shared" ca="1" si="110"/>
        <v/>
      </c>
      <c r="AJ198" s="46"/>
      <c r="AK198" s="147">
        <f t="shared" ca="1" si="111"/>
        <v>2.0182000000000384</v>
      </c>
      <c r="AL198" s="147">
        <f t="shared" si="112"/>
        <v>2.018500000000039</v>
      </c>
      <c r="AM198" s="12" t="str">
        <f>IF(V198&lt;=AO$3,VLOOKUP(V198,Kontenplan!$A$9:$D$278,4),"")</f>
        <v/>
      </c>
      <c r="AN198" s="12">
        <f t="shared" si="113"/>
        <v>0</v>
      </c>
      <c r="AO198" s="12" t="str">
        <f t="shared" ca="1" si="114"/>
        <v/>
      </c>
      <c r="AP198" s="46" t="str">
        <f t="shared" ca="1" si="115"/>
        <v/>
      </c>
      <c r="AQ198" s="46" t="str">
        <f t="shared" ca="1" si="116"/>
        <v/>
      </c>
      <c r="AR198" s="46"/>
      <c r="AS198" s="147">
        <f t="shared" ca="1" si="117"/>
        <v>3.0181000000000382</v>
      </c>
      <c r="AT198" s="147">
        <f t="shared" si="118"/>
        <v>2.0186000000000393</v>
      </c>
      <c r="AU198" s="47" t="str">
        <f>IF(V198&lt;=AW$3,VLOOKUP(AO$3+V198,Kontenplan!$A$9:$D$278,4),"")</f>
        <v/>
      </c>
      <c r="AV198" s="12">
        <f t="shared" si="119"/>
        <v>0</v>
      </c>
      <c r="AW198" s="12" t="str">
        <f t="shared" ca="1" si="120"/>
        <v/>
      </c>
      <c r="AX198" s="46" t="str">
        <f t="shared" ca="1" si="88"/>
        <v/>
      </c>
      <c r="AY198" s="46" t="str">
        <f t="shared" ca="1" si="121"/>
        <v/>
      </c>
      <c r="BA198" s="12">
        <f>Kontenplan!R200</f>
        <v>3</v>
      </c>
      <c r="BB198" s="12">
        <f>Kontenplan!S200</f>
        <v>2</v>
      </c>
      <c r="BC198" s="12">
        <f>Kontenplan!T200</f>
        <v>4</v>
      </c>
      <c r="BD198" s="170">
        <f>Kontenplan!U200</f>
        <v>4</v>
      </c>
      <c r="BF198" s="24">
        <f ca="1">SUM(AP$7:AP198)</f>
        <v>0</v>
      </c>
      <c r="BG198" s="46">
        <f ca="1">SUM(AQ$7:AQ197)</f>
        <v>0</v>
      </c>
      <c r="BH198" s="24">
        <f t="shared" ca="1" si="122"/>
        <v>0</v>
      </c>
      <c r="BI198" s="24"/>
      <c r="BJ198" s="24">
        <f ca="1">SUM(AX$7:AX198)</f>
        <v>0</v>
      </c>
      <c r="BK198" s="24">
        <f ca="1">SUM(AY$7:AY197)</f>
        <v>0</v>
      </c>
      <c r="BL198" s="24">
        <f t="shared" ca="1" si="123"/>
        <v>0</v>
      </c>
      <c r="BN198" s="24">
        <f ca="1">SUM(AB$7:AB198)</f>
        <v>0</v>
      </c>
      <c r="BO198" s="46">
        <f ca="1">SUM(AC$7:AC197)</f>
        <v>0</v>
      </c>
      <c r="BP198" s="24">
        <f t="shared" ca="1" si="124"/>
        <v>0</v>
      </c>
      <c r="BR198" s="24">
        <f ca="1">SUM(AH$7:AH198)</f>
        <v>0</v>
      </c>
      <c r="BS198" s="46">
        <f ca="1">SUM(AI$7:AI197)</f>
        <v>0</v>
      </c>
      <c r="BT198" s="24">
        <f t="shared" ca="1" si="125"/>
        <v>0</v>
      </c>
    </row>
    <row r="199" spans="1:72" s="12" customFormat="1">
      <c r="A199" s="202">
        <f>Kontenplan!C201</f>
        <v>0</v>
      </c>
      <c r="B199" s="224">
        <f>Kontenplan!E201</f>
        <v>0</v>
      </c>
      <c r="C199" s="225">
        <f>Kontenplan!F201</f>
        <v>0</v>
      </c>
      <c r="D199" s="43">
        <f>IF(B199=0,0,SUMIF(Journal!$F$7:$F$83,Calc!B199,Journal!$I$7:$I$83))</f>
        <v>0</v>
      </c>
      <c r="E199" s="15">
        <f>IF(B199=0,0,SUMIF(Journal!$G$7:$M273,Calc!B199,Journal!$I$7:$I$83))</f>
        <v>0</v>
      </c>
      <c r="F199" s="44">
        <f t="shared" si="89"/>
        <v>0</v>
      </c>
      <c r="G199" s="15">
        <f t="shared" si="90"/>
        <v>0</v>
      </c>
      <c r="H199" s="14" t="str">
        <f t="shared" si="91"/>
        <v xml:space="preserve"> </v>
      </c>
      <c r="I199" s="43" t="str">
        <f t="shared" si="92"/>
        <v xml:space="preserve"> </v>
      </c>
      <c r="J199" s="45" t="str">
        <f t="shared" si="93"/>
        <v xml:space="preserve"> </v>
      </c>
      <c r="K199" s="48" t="str">
        <f t="shared" si="94"/>
        <v xml:space="preserve"> </v>
      </c>
      <c r="L199" s="45" t="str">
        <f t="shared" si="95"/>
        <v xml:space="preserve"> </v>
      </c>
      <c r="M199" s="48" t="str">
        <f t="shared" si="96"/>
        <v xml:space="preserve"> </v>
      </c>
      <c r="N199" s="24"/>
      <c r="O199" s="12">
        <f t="shared" si="97"/>
        <v>10.036599999999915</v>
      </c>
      <c r="P199" s="12">
        <f t="shared" si="98"/>
        <v>9.0347999999999189</v>
      </c>
      <c r="Q199" s="12">
        <f t="shared" si="99"/>
        <v>31.028599999999933</v>
      </c>
      <c r="R199" s="12">
        <f t="shared" si="100"/>
        <v>29.022799999999947</v>
      </c>
      <c r="S199" s="12">
        <f t="shared" si="101"/>
        <v>0</v>
      </c>
      <c r="T199" s="12">
        <f t="shared" si="102"/>
        <v>0</v>
      </c>
      <c r="U199" s="43">
        <f>IF(OR(A199=Kontenplan!$C$3,A199=Kontenplan!$C$5),F199-G199,G199-F199)</f>
        <v>0</v>
      </c>
      <c r="V199" s="171">
        <f t="shared" ref="V199:V262" si="126">V198+1</f>
        <v>193</v>
      </c>
      <c r="W199" s="12">
        <f t="shared" si="86"/>
        <v>166</v>
      </c>
      <c r="X199" s="12">
        <f t="shared" si="87"/>
        <v>168</v>
      </c>
      <c r="Y199" s="12">
        <f>IF(Z199=0,VLOOKUP(W199,Kontenplan!$Y$9:$AA$551,3),"")</f>
        <v>0</v>
      </c>
      <c r="Z199" s="12">
        <f t="shared" si="103"/>
        <v>0</v>
      </c>
      <c r="AA199" s="12" t="str">
        <f t="shared" ca="1" si="104"/>
        <v/>
      </c>
      <c r="AB199" s="46" t="str">
        <f t="shared" ca="1" si="105"/>
        <v/>
      </c>
      <c r="AC199" s="46" t="str">
        <f t="shared" ca="1" si="106"/>
        <v/>
      </c>
      <c r="AD199" s="47"/>
      <c r="AE199" s="12">
        <f>IF(AF199=0,VLOOKUP(X199,Kontenplan!$Z$9:$AB$551,3),"")</f>
        <v>0</v>
      </c>
      <c r="AF199" s="47">
        <f t="shared" si="107"/>
        <v>0</v>
      </c>
      <c r="AG199" s="12" t="str">
        <f t="shared" ca="1" si="108"/>
        <v/>
      </c>
      <c r="AH199" s="46" t="str">
        <f t="shared" ca="1" si="109"/>
        <v/>
      </c>
      <c r="AI199" s="46" t="str">
        <f t="shared" ca="1" si="110"/>
        <v/>
      </c>
      <c r="AJ199" s="46"/>
      <c r="AK199" s="147">
        <f t="shared" ca="1" si="111"/>
        <v>2.0183000000000386</v>
      </c>
      <c r="AL199" s="147">
        <f t="shared" si="112"/>
        <v>2.0186000000000393</v>
      </c>
      <c r="AM199" s="12" t="str">
        <f>IF(V199&lt;=AO$3,VLOOKUP(V199,Kontenplan!$A$9:$D$278,4),"")</f>
        <v/>
      </c>
      <c r="AN199" s="12">
        <f t="shared" si="113"/>
        <v>0</v>
      </c>
      <c r="AO199" s="12" t="str">
        <f t="shared" ca="1" si="114"/>
        <v/>
      </c>
      <c r="AP199" s="46" t="str">
        <f t="shared" ca="1" si="115"/>
        <v/>
      </c>
      <c r="AQ199" s="46" t="str">
        <f t="shared" ca="1" si="116"/>
        <v/>
      </c>
      <c r="AR199" s="46"/>
      <c r="AS199" s="147">
        <f t="shared" ca="1" si="117"/>
        <v>3.0182000000000384</v>
      </c>
      <c r="AT199" s="147">
        <f t="shared" si="118"/>
        <v>2.0187000000000395</v>
      </c>
      <c r="AU199" s="47" t="str">
        <f>IF(V199&lt;=AW$3,VLOOKUP(AO$3+V199,Kontenplan!$A$9:$D$278,4),"")</f>
        <v/>
      </c>
      <c r="AV199" s="12">
        <f t="shared" si="119"/>
        <v>0</v>
      </c>
      <c r="AW199" s="12" t="str">
        <f t="shared" ca="1" si="120"/>
        <v/>
      </c>
      <c r="AX199" s="46" t="str">
        <f t="shared" ca="1" si="88"/>
        <v/>
      </c>
      <c r="AY199" s="46" t="str">
        <f t="shared" ca="1" si="121"/>
        <v/>
      </c>
      <c r="BA199" s="12">
        <f>Kontenplan!R201</f>
        <v>3</v>
      </c>
      <c r="BB199" s="12">
        <f>Kontenplan!S201</f>
        <v>2</v>
      </c>
      <c r="BC199" s="12">
        <f>Kontenplan!T201</f>
        <v>4</v>
      </c>
      <c r="BD199" s="170">
        <f>Kontenplan!U201</f>
        <v>4</v>
      </c>
      <c r="BF199" s="24">
        <f ca="1">SUM(AP$7:AP199)</f>
        <v>0</v>
      </c>
      <c r="BG199" s="46">
        <f ca="1">SUM(AQ$7:AQ198)</f>
        <v>0</v>
      </c>
      <c r="BH199" s="24">
        <f t="shared" ca="1" si="122"/>
        <v>0</v>
      </c>
      <c r="BI199" s="24"/>
      <c r="BJ199" s="24">
        <f ca="1">SUM(AX$7:AX199)</f>
        <v>0</v>
      </c>
      <c r="BK199" s="24">
        <f ca="1">SUM(AY$7:AY198)</f>
        <v>0</v>
      </c>
      <c r="BL199" s="24">
        <f t="shared" ca="1" si="123"/>
        <v>0</v>
      </c>
      <c r="BN199" s="24">
        <f ca="1">SUM(AB$7:AB199)</f>
        <v>0</v>
      </c>
      <c r="BO199" s="46">
        <f ca="1">SUM(AC$7:AC198)</f>
        <v>0</v>
      </c>
      <c r="BP199" s="24">
        <f t="shared" ca="1" si="124"/>
        <v>0</v>
      </c>
      <c r="BR199" s="24">
        <f ca="1">SUM(AH$7:AH199)</f>
        <v>0</v>
      </c>
      <c r="BS199" s="46">
        <f ca="1">SUM(AI$7:AI198)</f>
        <v>0</v>
      </c>
      <c r="BT199" s="24">
        <f t="shared" ca="1" si="125"/>
        <v>0</v>
      </c>
    </row>
    <row r="200" spans="1:72" s="12" customFormat="1">
      <c r="A200" s="202">
        <f>Kontenplan!C202</f>
        <v>0</v>
      </c>
      <c r="B200" s="224">
        <f>Kontenplan!E202</f>
        <v>0</v>
      </c>
      <c r="C200" s="225">
        <f>Kontenplan!F202</f>
        <v>0</v>
      </c>
      <c r="D200" s="43">
        <f>IF(B200=0,0,SUMIF(Journal!$F$7:$F$83,Calc!B200,Journal!$I$7:$I$83))</f>
        <v>0</v>
      </c>
      <c r="E200" s="15">
        <f>IF(B200=0,0,SUMIF(Journal!$G$7:$M274,Calc!B200,Journal!$I$7:$I$83))</f>
        <v>0</v>
      </c>
      <c r="F200" s="44">
        <f t="shared" si="89"/>
        <v>0</v>
      </c>
      <c r="G200" s="15">
        <f t="shared" si="90"/>
        <v>0</v>
      </c>
      <c r="H200" s="14" t="str">
        <f t="shared" si="91"/>
        <v xml:space="preserve"> </v>
      </c>
      <c r="I200" s="43" t="str">
        <f t="shared" si="92"/>
        <v xml:space="preserve"> </v>
      </c>
      <c r="J200" s="45" t="str">
        <f t="shared" si="93"/>
        <v xml:space="preserve"> </v>
      </c>
      <c r="K200" s="48" t="str">
        <f t="shared" si="94"/>
        <v xml:space="preserve"> </v>
      </c>
      <c r="L200" s="45" t="str">
        <f t="shared" si="95"/>
        <v xml:space="preserve"> </v>
      </c>
      <c r="M200" s="48" t="str">
        <f t="shared" si="96"/>
        <v xml:space="preserve"> </v>
      </c>
      <c r="N200" s="24"/>
      <c r="O200" s="12">
        <f t="shared" si="97"/>
        <v>10.036799999999914</v>
      </c>
      <c r="P200" s="12">
        <f t="shared" si="98"/>
        <v>9.0349999999999184</v>
      </c>
      <c r="Q200" s="12">
        <f t="shared" si="99"/>
        <v>31.028799999999933</v>
      </c>
      <c r="R200" s="12">
        <f t="shared" si="100"/>
        <v>29.022999999999946</v>
      </c>
      <c r="S200" s="12">
        <f t="shared" si="101"/>
        <v>0</v>
      </c>
      <c r="T200" s="12">
        <f t="shared" si="102"/>
        <v>0</v>
      </c>
      <c r="U200" s="43">
        <f>IF(OR(A200=Kontenplan!$C$3,A200=Kontenplan!$C$5),F200-G200,G200-F200)</f>
        <v>0</v>
      </c>
      <c r="V200" s="171">
        <f t="shared" si="126"/>
        <v>194</v>
      </c>
      <c r="W200" s="12">
        <f t="shared" ref="W200:W263" si="127">IF(Z200=0,ROUND(W199+1,0),W199+0.00001)</f>
        <v>167</v>
      </c>
      <c r="X200" s="12">
        <f t="shared" ref="X200:X263" si="128">IF(AF200=0,ROUND(X199+1,0),X199+0.00001)</f>
        <v>169</v>
      </c>
      <c r="Y200" s="12">
        <f>IF(Z200=0,VLOOKUP(W200,Kontenplan!$Y$9:$AA$551,3),"")</f>
        <v>0</v>
      </c>
      <c r="Z200" s="12">
        <f t="shared" si="103"/>
        <v>0</v>
      </c>
      <c r="AA200" s="12" t="str">
        <f t="shared" ca="1" si="104"/>
        <v/>
      </c>
      <c r="AB200" s="46" t="str">
        <f t="shared" ca="1" si="105"/>
        <v/>
      </c>
      <c r="AC200" s="46" t="str">
        <f t="shared" ca="1" si="106"/>
        <v/>
      </c>
      <c r="AD200" s="47"/>
      <c r="AE200" s="12">
        <f>IF(AF200=0,VLOOKUP(X200,Kontenplan!$Z$9:$AB$551,3),"")</f>
        <v>0</v>
      </c>
      <c r="AF200" s="47">
        <f t="shared" si="107"/>
        <v>0</v>
      </c>
      <c r="AG200" s="12" t="str">
        <f t="shared" ca="1" si="108"/>
        <v/>
      </c>
      <c r="AH200" s="46" t="str">
        <f t="shared" ca="1" si="109"/>
        <v/>
      </c>
      <c r="AI200" s="46" t="str">
        <f t="shared" ca="1" si="110"/>
        <v/>
      </c>
      <c r="AJ200" s="46"/>
      <c r="AK200" s="147">
        <f t="shared" ca="1" si="111"/>
        <v>2.0184000000000388</v>
      </c>
      <c r="AL200" s="147">
        <f t="shared" si="112"/>
        <v>2.0187000000000395</v>
      </c>
      <c r="AM200" s="12" t="str">
        <f>IF(V200&lt;=AO$3,VLOOKUP(V200,Kontenplan!$A$9:$D$278,4),"")</f>
        <v/>
      </c>
      <c r="AN200" s="12">
        <f t="shared" si="113"/>
        <v>0</v>
      </c>
      <c r="AO200" s="12" t="str">
        <f t="shared" ca="1" si="114"/>
        <v/>
      </c>
      <c r="AP200" s="46" t="str">
        <f t="shared" ca="1" si="115"/>
        <v/>
      </c>
      <c r="AQ200" s="46" t="str">
        <f t="shared" ca="1" si="116"/>
        <v/>
      </c>
      <c r="AR200" s="46"/>
      <c r="AS200" s="147">
        <f t="shared" ca="1" si="117"/>
        <v>3.0183000000000386</v>
      </c>
      <c r="AT200" s="147">
        <f t="shared" si="118"/>
        <v>2.0188000000000397</v>
      </c>
      <c r="AU200" s="47" t="str">
        <f>IF(V200&lt;=AW$3,VLOOKUP(AO$3+V200,Kontenplan!$A$9:$D$278,4),"")</f>
        <v/>
      </c>
      <c r="AV200" s="12">
        <f t="shared" si="119"/>
        <v>0</v>
      </c>
      <c r="AW200" s="12" t="str">
        <f t="shared" ca="1" si="120"/>
        <v/>
      </c>
      <c r="AX200" s="46" t="str">
        <f t="shared" ca="1" si="88"/>
        <v/>
      </c>
      <c r="AY200" s="46" t="str">
        <f t="shared" ca="1" si="121"/>
        <v/>
      </c>
      <c r="BA200" s="12">
        <f>Kontenplan!R202</f>
        <v>3</v>
      </c>
      <c r="BB200" s="12">
        <f>Kontenplan!S202</f>
        <v>2</v>
      </c>
      <c r="BC200" s="12">
        <f>Kontenplan!T202</f>
        <v>4</v>
      </c>
      <c r="BD200" s="170">
        <f>Kontenplan!U202</f>
        <v>4</v>
      </c>
      <c r="BF200" s="24">
        <f ca="1">SUM(AP$7:AP200)</f>
        <v>0</v>
      </c>
      <c r="BG200" s="46">
        <f ca="1">SUM(AQ$7:AQ199)</f>
        <v>0</v>
      </c>
      <c r="BH200" s="24">
        <f t="shared" ca="1" si="122"/>
        <v>0</v>
      </c>
      <c r="BI200" s="24"/>
      <c r="BJ200" s="24">
        <f ca="1">SUM(AX$7:AX200)</f>
        <v>0</v>
      </c>
      <c r="BK200" s="24">
        <f ca="1">SUM(AY$7:AY199)</f>
        <v>0</v>
      </c>
      <c r="BL200" s="24">
        <f t="shared" ca="1" si="123"/>
        <v>0</v>
      </c>
      <c r="BN200" s="24">
        <f ca="1">SUM(AB$7:AB200)</f>
        <v>0</v>
      </c>
      <c r="BO200" s="46">
        <f ca="1">SUM(AC$7:AC199)</f>
        <v>0</v>
      </c>
      <c r="BP200" s="24">
        <f t="shared" ca="1" si="124"/>
        <v>0</v>
      </c>
      <c r="BR200" s="24">
        <f ca="1">SUM(AH$7:AH200)</f>
        <v>0</v>
      </c>
      <c r="BS200" s="46">
        <f ca="1">SUM(AI$7:AI199)</f>
        <v>0</v>
      </c>
      <c r="BT200" s="24">
        <f t="shared" ca="1" si="125"/>
        <v>0</v>
      </c>
    </row>
    <row r="201" spans="1:72" s="12" customFormat="1">
      <c r="A201" s="202">
        <f>Kontenplan!C203</f>
        <v>0</v>
      </c>
      <c r="B201" s="224">
        <f>Kontenplan!E203</f>
        <v>0</v>
      </c>
      <c r="C201" s="225">
        <f>Kontenplan!F203</f>
        <v>0</v>
      </c>
      <c r="D201" s="43">
        <f>IF(B201=0,0,SUMIF(Journal!$F$7:$F$83,Calc!B201,Journal!$I$7:$I$83))</f>
        <v>0</v>
      </c>
      <c r="E201" s="15">
        <f>IF(B201=0,0,SUMIF(Journal!$G$7:$M275,Calc!B201,Journal!$I$7:$I$83))</f>
        <v>0</v>
      </c>
      <c r="F201" s="44">
        <f t="shared" si="89"/>
        <v>0</v>
      </c>
      <c r="G201" s="15">
        <f t="shared" si="90"/>
        <v>0</v>
      </c>
      <c r="H201" s="14" t="str">
        <f t="shared" si="91"/>
        <v xml:space="preserve"> </v>
      </c>
      <c r="I201" s="43" t="str">
        <f t="shared" si="92"/>
        <v xml:space="preserve"> </v>
      </c>
      <c r="J201" s="45" t="str">
        <f t="shared" si="93"/>
        <v xml:space="preserve"> </v>
      </c>
      <c r="K201" s="48" t="str">
        <f t="shared" si="94"/>
        <v xml:space="preserve"> </v>
      </c>
      <c r="L201" s="45" t="str">
        <f t="shared" si="95"/>
        <v xml:space="preserve"> </v>
      </c>
      <c r="M201" s="48" t="str">
        <f t="shared" si="96"/>
        <v xml:space="preserve"> </v>
      </c>
      <c r="N201" s="24"/>
      <c r="O201" s="12">
        <f t="shared" si="97"/>
        <v>10.036999999999914</v>
      </c>
      <c r="P201" s="12">
        <f t="shared" si="98"/>
        <v>9.035199999999918</v>
      </c>
      <c r="Q201" s="12">
        <f t="shared" si="99"/>
        <v>31.028999999999932</v>
      </c>
      <c r="R201" s="12">
        <f t="shared" si="100"/>
        <v>29.023199999999946</v>
      </c>
      <c r="S201" s="12">
        <f t="shared" si="101"/>
        <v>0</v>
      </c>
      <c r="T201" s="12">
        <f t="shared" si="102"/>
        <v>0</v>
      </c>
      <c r="U201" s="43">
        <f>IF(OR(A201=Kontenplan!$C$3,A201=Kontenplan!$C$5),F201-G201,G201-F201)</f>
        <v>0</v>
      </c>
      <c r="V201" s="171">
        <f t="shared" si="126"/>
        <v>195</v>
      </c>
      <c r="W201" s="12">
        <f t="shared" si="127"/>
        <v>168</v>
      </c>
      <c r="X201" s="12">
        <f t="shared" si="128"/>
        <v>170</v>
      </c>
      <c r="Y201" s="12">
        <f>IF(Z201=0,VLOOKUP(W201,Kontenplan!$Y$9:$AA$551,3),"")</f>
        <v>0</v>
      </c>
      <c r="Z201" s="12">
        <f t="shared" si="103"/>
        <v>0</v>
      </c>
      <c r="AA201" s="12" t="str">
        <f t="shared" ca="1" si="104"/>
        <v/>
      </c>
      <c r="AB201" s="46" t="str">
        <f t="shared" ca="1" si="105"/>
        <v/>
      </c>
      <c r="AC201" s="46" t="str">
        <f t="shared" ca="1" si="106"/>
        <v/>
      </c>
      <c r="AD201" s="47"/>
      <c r="AE201" s="12">
        <f>IF(AF201=0,VLOOKUP(X201,Kontenplan!$Z$9:$AB$551,3),"")</f>
        <v>0</v>
      </c>
      <c r="AF201" s="47">
        <f t="shared" si="107"/>
        <v>0</v>
      </c>
      <c r="AG201" s="12" t="str">
        <f t="shared" ca="1" si="108"/>
        <v/>
      </c>
      <c r="AH201" s="46" t="str">
        <f t="shared" ca="1" si="109"/>
        <v/>
      </c>
      <c r="AI201" s="46" t="str">
        <f t="shared" ca="1" si="110"/>
        <v/>
      </c>
      <c r="AJ201" s="46"/>
      <c r="AK201" s="147">
        <f t="shared" ca="1" si="111"/>
        <v>2.018500000000039</v>
      </c>
      <c r="AL201" s="147">
        <f t="shared" si="112"/>
        <v>2.0188000000000397</v>
      </c>
      <c r="AM201" s="12" t="str">
        <f>IF(V201&lt;=AO$3,VLOOKUP(V201,Kontenplan!$A$9:$D$278,4),"")</f>
        <v/>
      </c>
      <c r="AN201" s="12">
        <f t="shared" si="113"/>
        <v>0</v>
      </c>
      <c r="AO201" s="12" t="str">
        <f t="shared" ca="1" si="114"/>
        <v/>
      </c>
      <c r="AP201" s="46" t="str">
        <f t="shared" ca="1" si="115"/>
        <v/>
      </c>
      <c r="AQ201" s="46" t="str">
        <f t="shared" ca="1" si="116"/>
        <v/>
      </c>
      <c r="AR201" s="46"/>
      <c r="AS201" s="147">
        <f t="shared" ca="1" si="117"/>
        <v>3.0184000000000388</v>
      </c>
      <c r="AT201" s="147">
        <f t="shared" si="118"/>
        <v>2.0189000000000399</v>
      </c>
      <c r="AU201" s="47" t="str">
        <f>IF(V201&lt;=AW$3,VLOOKUP(AO$3+V201,Kontenplan!$A$9:$D$278,4),"")</f>
        <v/>
      </c>
      <c r="AV201" s="12">
        <f t="shared" si="119"/>
        <v>0</v>
      </c>
      <c r="AW201" s="12" t="str">
        <f t="shared" ca="1" si="120"/>
        <v/>
      </c>
      <c r="AX201" s="46" t="str">
        <f t="shared" ref="AX201:AX264" ca="1" si="129">IF($H$284=0,0,IF(AW201="Gewinn",I$280,IF(AW201="Total","c",IF(AO$4+2&lt;V201,"",VLOOKUP(V201,$P$7:$U$276,6)))))</f>
        <v/>
      </c>
      <c r="AY201" s="46" t="str">
        <f t="shared" ca="1" si="121"/>
        <v/>
      </c>
      <c r="BA201" s="12">
        <f>Kontenplan!R203</f>
        <v>3</v>
      </c>
      <c r="BB201" s="12">
        <f>Kontenplan!S203</f>
        <v>2</v>
      </c>
      <c r="BC201" s="12">
        <f>Kontenplan!T203</f>
        <v>4</v>
      </c>
      <c r="BD201" s="170">
        <f>Kontenplan!U203</f>
        <v>4</v>
      </c>
      <c r="BF201" s="24">
        <f ca="1">SUM(AP$7:AP201)</f>
        <v>0</v>
      </c>
      <c r="BG201" s="46">
        <f ca="1">SUM(AQ$7:AQ200)</f>
        <v>0</v>
      </c>
      <c r="BH201" s="24">
        <f t="shared" ca="1" si="122"/>
        <v>0</v>
      </c>
      <c r="BI201" s="24"/>
      <c r="BJ201" s="24">
        <f ca="1">SUM(AX$7:AX201)</f>
        <v>0</v>
      </c>
      <c r="BK201" s="24">
        <f ca="1">SUM(AY$7:AY200)</f>
        <v>0</v>
      </c>
      <c r="BL201" s="24">
        <f t="shared" ca="1" si="123"/>
        <v>0</v>
      </c>
      <c r="BN201" s="24">
        <f ca="1">SUM(AB$7:AB201)</f>
        <v>0</v>
      </c>
      <c r="BO201" s="46">
        <f ca="1">SUM(AC$7:AC200)</f>
        <v>0</v>
      </c>
      <c r="BP201" s="24">
        <f t="shared" ca="1" si="124"/>
        <v>0</v>
      </c>
      <c r="BR201" s="24">
        <f ca="1">SUM(AH$7:AH201)</f>
        <v>0</v>
      </c>
      <c r="BS201" s="46">
        <f ca="1">SUM(AI$7:AI200)</f>
        <v>0</v>
      </c>
      <c r="BT201" s="24">
        <f t="shared" ca="1" si="125"/>
        <v>0</v>
      </c>
    </row>
    <row r="202" spans="1:72" s="12" customFormat="1">
      <c r="A202" s="202">
        <f>Kontenplan!C204</f>
        <v>0</v>
      </c>
      <c r="B202" s="224">
        <f>Kontenplan!E204</f>
        <v>0</v>
      </c>
      <c r="C202" s="225">
        <f>Kontenplan!F204</f>
        <v>0</v>
      </c>
      <c r="D202" s="43">
        <f>IF(B202=0,0,SUMIF(Journal!$F$7:$F$83,Calc!B202,Journal!$I$7:$I$83))</f>
        <v>0</v>
      </c>
      <c r="E202" s="15">
        <f>IF(B202=0,0,SUMIF(Journal!$G$7:$M276,Calc!B202,Journal!$I$7:$I$83))</f>
        <v>0</v>
      </c>
      <c r="F202" s="44">
        <f t="shared" si="89"/>
        <v>0</v>
      </c>
      <c r="G202" s="15">
        <f t="shared" si="90"/>
        <v>0</v>
      </c>
      <c r="H202" s="14" t="str">
        <f t="shared" si="91"/>
        <v xml:space="preserve"> </v>
      </c>
      <c r="I202" s="43" t="str">
        <f t="shared" si="92"/>
        <v xml:space="preserve"> </v>
      </c>
      <c r="J202" s="45" t="str">
        <f t="shared" si="93"/>
        <v xml:space="preserve"> </v>
      </c>
      <c r="K202" s="48" t="str">
        <f t="shared" si="94"/>
        <v xml:space="preserve"> </v>
      </c>
      <c r="L202" s="45" t="str">
        <f t="shared" si="95"/>
        <v xml:space="preserve"> </v>
      </c>
      <c r="M202" s="48" t="str">
        <f t="shared" si="96"/>
        <v xml:space="preserve"> </v>
      </c>
      <c r="N202" s="24"/>
      <c r="O202" s="12">
        <f t="shared" si="97"/>
        <v>10.037199999999913</v>
      </c>
      <c r="P202" s="12">
        <f t="shared" si="98"/>
        <v>9.0353999999999175</v>
      </c>
      <c r="Q202" s="12">
        <f t="shared" si="99"/>
        <v>31.029199999999932</v>
      </c>
      <c r="R202" s="12">
        <f t="shared" si="100"/>
        <v>29.023399999999945</v>
      </c>
      <c r="S202" s="12">
        <f t="shared" si="101"/>
        <v>0</v>
      </c>
      <c r="T202" s="12">
        <f t="shared" si="102"/>
        <v>0</v>
      </c>
      <c r="U202" s="43">
        <f>IF(OR(A202=Kontenplan!$C$3,A202=Kontenplan!$C$5),F202-G202,G202-F202)</f>
        <v>0</v>
      </c>
      <c r="V202" s="171">
        <f t="shared" si="126"/>
        <v>196</v>
      </c>
      <c r="W202" s="12">
        <f t="shared" si="127"/>
        <v>169</v>
      </c>
      <c r="X202" s="12">
        <f t="shared" si="128"/>
        <v>171</v>
      </c>
      <c r="Y202" s="12">
        <f>IF(Z202=0,VLOOKUP(W202,Kontenplan!$Y$9:$AA$551,3),"")</f>
        <v>0</v>
      </c>
      <c r="Z202" s="12">
        <f t="shared" si="103"/>
        <v>0</v>
      </c>
      <c r="AA202" s="12" t="str">
        <f t="shared" ca="1" si="104"/>
        <v/>
      </c>
      <c r="AB202" s="46" t="str">
        <f t="shared" ca="1" si="105"/>
        <v/>
      </c>
      <c r="AC202" s="46" t="str">
        <f t="shared" ca="1" si="106"/>
        <v/>
      </c>
      <c r="AD202" s="47"/>
      <c r="AE202" s="12">
        <f>IF(AF202=0,VLOOKUP(X202,Kontenplan!$Z$9:$AB$551,3),"")</f>
        <v>0</v>
      </c>
      <c r="AF202" s="47">
        <f t="shared" si="107"/>
        <v>0</v>
      </c>
      <c r="AG202" s="12" t="str">
        <f t="shared" ca="1" si="108"/>
        <v/>
      </c>
      <c r="AH202" s="46" t="str">
        <f t="shared" ca="1" si="109"/>
        <v/>
      </c>
      <c r="AI202" s="46" t="str">
        <f t="shared" ca="1" si="110"/>
        <v/>
      </c>
      <c r="AJ202" s="46"/>
      <c r="AK202" s="147">
        <f t="shared" ca="1" si="111"/>
        <v>2.0186000000000393</v>
      </c>
      <c r="AL202" s="147">
        <f t="shared" si="112"/>
        <v>2.0189000000000399</v>
      </c>
      <c r="AM202" s="12" t="str">
        <f>IF(V202&lt;=AO$3,VLOOKUP(V202,Kontenplan!$A$9:$D$278,4),"")</f>
        <v/>
      </c>
      <c r="AN202" s="12">
        <f t="shared" si="113"/>
        <v>0</v>
      </c>
      <c r="AO202" s="12" t="str">
        <f t="shared" ca="1" si="114"/>
        <v/>
      </c>
      <c r="AP202" s="46" t="str">
        <f t="shared" ca="1" si="115"/>
        <v/>
      </c>
      <c r="AQ202" s="46" t="str">
        <f t="shared" ca="1" si="116"/>
        <v/>
      </c>
      <c r="AR202" s="46"/>
      <c r="AS202" s="147">
        <f t="shared" ca="1" si="117"/>
        <v>3.018500000000039</v>
      </c>
      <c r="AT202" s="147">
        <f t="shared" si="118"/>
        <v>2.0190000000000401</v>
      </c>
      <c r="AU202" s="47" t="str">
        <f>IF(V202&lt;=AW$3,VLOOKUP(AO$3+V202,Kontenplan!$A$9:$D$278,4),"")</f>
        <v/>
      </c>
      <c r="AV202" s="12">
        <f t="shared" si="119"/>
        <v>0</v>
      </c>
      <c r="AW202" s="12" t="str">
        <f t="shared" ca="1" si="120"/>
        <v/>
      </c>
      <c r="AX202" s="46" t="str">
        <f t="shared" ca="1" si="129"/>
        <v/>
      </c>
      <c r="AY202" s="46" t="str">
        <f t="shared" ca="1" si="121"/>
        <v/>
      </c>
      <c r="BA202" s="12">
        <f>Kontenplan!R204</f>
        <v>3</v>
      </c>
      <c r="BB202" s="12">
        <f>Kontenplan!S204</f>
        <v>2</v>
      </c>
      <c r="BC202" s="12">
        <f>Kontenplan!T204</f>
        <v>4</v>
      </c>
      <c r="BD202" s="170">
        <f>Kontenplan!U204</f>
        <v>4</v>
      </c>
      <c r="BF202" s="24">
        <f ca="1">SUM(AP$7:AP202)</f>
        <v>0</v>
      </c>
      <c r="BG202" s="46">
        <f ca="1">SUM(AQ$7:AQ201)</f>
        <v>0</v>
      </c>
      <c r="BH202" s="24">
        <f t="shared" ca="1" si="122"/>
        <v>0</v>
      </c>
      <c r="BI202" s="24"/>
      <c r="BJ202" s="24">
        <f ca="1">SUM(AX$7:AX202)</f>
        <v>0</v>
      </c>
      <c r="BK202" s="24">
        <f ca="1">SUM(AY$7:AY201)</f>
        <v>0</v>
      </c>
      <c r="BL202" s="24">
        <f t="shared" ca="1" si="123"/>
        <v>0</v>
      </c>
      <c r="BN202" s="24">
        <f ca="1">SUM(AB$7:AB202)</f>
        <v>0</v>
      </c>
      <c r="BO202" s="46">
        <f ca="1">SUM(AC$7:AC201)</f>
        <v>0</v>
      </c>
      <c r="BP202" s="24">
        <f t="shared" ca="1" si="124"/>
        <v>0</v>
      </c>
      <c r="BR202" s="24">
        <f ca="1">SUM(AH$7:AH202)</f>
        <v>0</v>
      </c>
      <c r="BS202" s="46">
        <f ca="1">SUM(AI$7:AI201)</f>
        <v>0</v>
      </c>
      <c r="BT202" s="24">
        <f t="shared" ca="1" si="125"/>
        <v>0</v>
      </c>
    </row>
    <row r="203" spans="1:72" s="12" customFormat="1">
      <c r="A203" s="202">
        <f>Kontenplan!C205</f>
        <v>0</v>
      </c>
      <c r="B203" s="224">
        <f>Kontenplan!E205</f>
        <v>0</v>
      </c>
      <c r="C203" s="225">
        <f>Kontenplan!F205</f>
        <v>0</v>
      </c>
      <c r="D203" s="43">
        <f>IF(B203=0,0,SUMIF(Journal!$F$7:$F$83,Calc!B203,Journal!$I$7:$I$83))</f>
        <v>0</v>
      </c>
      <c r="E203" s="15">
        <f>IF(B203=0,0,SUMIF(Journal!$G$7:$M277,Calc!B203,Journal!$I$7:$I$83))</f>
        <v>0</v>
      </c>
      <c r="F203" s="44">
        <f t="shared" ref="F203:F266" si="130">IF(D203-E203&gt;0,D203-E203,0)</f>
        <v>0</v>
      </c>
      <c r="G203" s="15">
        <f t="shared" ref="G203:G266" si="131">IF(E203&gt;D203,E203-D203,0)</f>
        <v>0</v>
      </c>
      <c r="H203" s="14" t="str">
        <f t="shared" ref="H203:H266" si="132">IF(AND(OR(A203="Aktivkonto",A203="Passivkonto"),F203&gt;0),F203," ")</f>
        <v xml:space="preserve"> </v>
      </c>
      <c r="I203" s="43" t="str">
        <f t="shared" ref="I203:I266" si="133">IF(AND(OR(A203="Aktivkonto",A203="Passivkonto"),G203&gt;0),G203," ")</f>
        <v xml:space="preserve"> </v>
      </c>
      <c r="J203" s="45" t="str">
        <f t="shared" ref="J203:J266" si="134">IF(AND(OR(A203="Aufwandskonto",A203="Ertragskonto",A203="Ertragsminderung",A203="a.o.Erfolgskonto"),F203&gt;0),F203," ")</f>
        <v xml:space="preserve"> </v>
      </c>
      <c r="K203" s="48" t="str">
        <f t="shared" ref="K203:K266" si="135">IF(AND(OR(A203="Aufwandskonto",A203="Ertragskonto",A203="Ertragsminderung",A203="a.o.Erfolgskonto"),G203&gt;0),G203," ")</f>
        <v xml:space="preserve"> </v>
      </c>
      <c r="L203" s="45" t="str">
        <f t="shared" ref="L203:L266" si="136">H203</f>
        <v xml:space="preserve"> </v>
      </c>
      <c r="M203" s="48" t="str">
        <f t="shared" ref="M203:M266" si="137">I203</f>
        <v xml:space="preserve"> </v>
      </c>
      <c r="N203" s="24"/>
      <c r="O203" s="12">
        <f t="shared" ref="O203:O266" si="138">IF(OR(BA203-BA202=1,$A203=O$5),ROUND(O202+1,0),O202+0.0002)</f>
        <v>10.037399999999913</v>
      </c>
      <c r="P203" s="12">
        <f t="shared" ref="P203:P266" si="139">IF(OR(BB203-BB202=1,$A203=P$5),ROUND(P202+1,0),P202+0.0002)</f>
        <v>9.035599999999917</v>
      </c>
      <c r="Q203" s="12">
        <f t="shared" ref="Q203:Q266" si="140">IF(OR($A203=Q$5,BC203-BC202=1),ROUND(Q202+1,0),Q202+0.0002)</f>
        <v>31.029399999999931</v>
      </c>
      <c r="R203" s="12">
        <f t="shared" ref="R203:R266" si="141">IF(OR(BD203-BD202=1,$A203=R$5),ROUND(R202+1,0),R202+0.0002)</f>
        <v>29.023599999999945</v>
      </c>
      <c r="S203" s="12">
        <f t="shared" ref="S203:S266" si="142">B203</f>
        <v>0</v>
      </c>
      <c r="T203" s="12">
        <f t="shared" ref="T203:T266" si="143">C203</f>
        <v>0</v>
      </c>
      <c r="U203" s="43">
        <f>IF(OR(A203=Kontenplan!$C$3,A203=Kontenplan!$C$5),F203-G203,G203-F203)</f>
        <v>0</v>
      </c>
      <c r="V203" s="171">
        <f t="shared" si="126"/>
        <v>197</v>
      </c>
      <c r="W203" s="12">
        <f t="shared" si="127"/>
        <v>170</v>
      </c>
      <c r="X203" s="12">
        <f t="shared" si="128"/>
        <v>172</v>
      </c>
      <c r="Y203" s="12">
        <f>IF(Z203=0,VLOOKUP(W203,Kontenplan!$Y$9:$AA$551,3),"")</f>
        <v>0</v>
      </c>
      <c r="Z203" s="12">
        <f t="shared" ref="Z203:Z266" si="144">VLOOKUP(V203,$Q$7:$S$276,3)</f>
        <v>0</v>
      </c>
      <c r="AA203" s="12" t="str">
        <f t="shared" ref="AA203:AA266" ca="1" si="145">IF(AA$4+1=V203,$C$280,IF(AA$4+2=V203,"Total",IF(VLOOKUP(V203,$Q$7:$T$276,4)=0,"",VLOOKUP(V203,$Q$7:$T$276,4))))</f>
        <v/>
      </c>
      <c r="AB203" s="46" t="str">
        <f t="shared" ref="AB203:AB266" ca="1" si="146">IF($H$284=0,0,IF(AA$4+2=V203,"c",IF(AA203="Gewinn",J$280,IF(AA$4+2&lt;V203,"",VLOOKUP(V203,$Q$7:$U$276,5)))))</f>
        <v/>
      </c>
      <c r="AC203" s="46" t="str">
        <f t="shared" ref="AC203:AC266" ca="1" si="147">IF(AA203="Gewinn",AB203,IF(AA203="Total",BN203,IF(AND(Z204=0,Z203&gt;0),BP203,IF(AND(Z203&gt;0,Z204&gt;0),"",IF(Z203&gt;0,0,"")))))</f>
        <v/>
      </c>
      <c r="AD203" s="47"/>
      <c r="AE203" s="12">
        <f>IF(AF203=0,VLOOKUP(X203,Kontenplan!$Z$9:$AB$551,3),"")</f>
        <v>0</v>
      </c>
      <c r="AF203" s="47">
        <f t="shared" ref="AF203:AF266" si="148">VLOOKUP(V203,$R$7:$S$276,2)</f>
        <v>0</v>
      </c>
      <c r="AG203" s="12" t="str">
        <f t="shared" ref="AG203:AG266" ca="1" si="149">IF(AA$4+1=V203,$C$280,IF(AA$4+2=V203,"Total",IF(VLOOKUP(V203,$R$7:$T$276,3)=0,"",VLOOKUP(V203,$R$7:$T$276,3))))</f>
        <v/>
      </c>
      <c r="AH203" s="46" t="str">
        <f t="shared" ref="AH203:AH266" ca="1" si="150">IF($H$284=0,0,IF(AG203="Verlust",K$280,IF(AG203="Total","c",IF(AA$4+2&lt;V203,"",VLOOKUP(V203,$R$7:$U$276,4)))))</f>
        <v/>
      </c>
      <c r="AI203" s="46" t="str">
        <f t="shared" ref="AI203:AI266" ca="1" si="151">IF(AG203="Verlust",AH203,IF(AG203="Total",BR203,IF(AND(AF204=0,AF203&gt;0),BT203,IF(AND(AF203&gt;0,AF204&gt;0),"",IF(AF203&gt;0,0,"")))))</f>
        <v/>
      </c>
      <c r="AJ203" s="46"/>
      <c r="AK203" s="147">
        <f t="shared" ref="AK203:AK266" ca="1" si="152">IF(OR(AK202+0.7&gt;AL202,AQ203=""),AK202+0.0001,ROUND(AK202+1,0))</f>
        <v>2.0187000000000395</v>
      </c>
      <c r="AL203" s="147">
        <f t="shared" ref="AL203:AL266" si="153">IF(OR(AM203="",AM203=0,AM204&lt;&gt;0),AL202+0.0001,ROUND(AL202+1,0))</f>
        <v>2.0190000000000401</v>
      </c>
      <c r="AM203" s="12" t="str">
        <f>IF(V203&lt;=AO$3,VLOOKUP(V203,Kontenplan!$A$9:$D$278,4),"")</f>
        <v/>
      </c>
      <c r="AN203" s="12">
        <f t="shared" ref="AN203:AN266" si="154">VLOOKUP(V203,$O$7:$S$276,5)</f>
        <v>0</v>
      </c>
      <c r="AO203" s="12" t="str">
        <f t="shared" ref="AO203:AO266" ca="1" si="155">IF($AO$4+1=V203,C$280,IF($AO$4+2=V203,"Total",IF(VLOOKUP(V203,$O$7:$T$276,6)=0,"",(VLOOKUP(V203,$O$7:$T$276,6)))))</f>
        <v/>
      </c>
      <c r="AP203" s="46" t="str">
        <f t="shared" ref="AP203:AP266" ca="1" si="156">IF($H$284=0,0,IF(AO$4+2=V203,"c",IF(AO203="Verlust",H$280,IF(AO$4+2&lt;V203,"",VLOOKUP(V203,$O$7:$U$276,7)))))</f>
        <v/>
      </c>
      <c r="AQ203" s="46" t="str">
        <f t="shared" ref="AQ203:AQ266" ca="1" si="157">IF(AO203="Verlust",AP203,IF(AO203="Total",BF203,IF(AND(AN204=0,AN203&gt;0),BH203,IF(AND(AN203&gt;0,AN204&gt;0),"",IF(AN203&gt;0,0,"")))))</f>
        <v/>
      </c>
      <c r="AR203" s="46"/>
      <c r="AS203" s="147">
        <f t="shared" ref="AS203:AS266" ca="1" si="158">IF(AW203="Gewinn",ROUND(AS202+1,0),IF(OR(AS202+0.7&gt;AT202,AY203=""),AS202+0.0001,ROUND(AS202+1,0)))</f>
        <v>3.0186000000000393</v>
      </c>
      <c r="AT203" s="147">
        <f t="shared" ref="AT203:AT266" si="159">IF(OR(AU203="",AU203=0,AU204&lt;&gt;0),AT202+0.0001,ROUND(AT202+1,0))</f>
        <v>2.0191000000000403</v>
      </c>
      <c r="AU203" s="47" t="str">
        <f>IF(V203&lt;=AW$3,VLOOKUP(AO$3+V203,Kontenplan!$A$9:$D$278,4),"")</f>
        <v/>
      </c>
      <c r="AV203" s="12">
        <f t="shared" ref="AV203:AV266" si="160">VLOOKUP(V203,$P$7:$S$276,4)</f>
        <v>0</v>
      </c>
      <c r="AW203" s="12" t="str">
        <f t="shared" ref="AW203:AW266" ca="1" si="161">IF($AO$4+1=V203,C$280,IF($AO$4+2=V203,"Total",IF(VLOOKUP(V203,$P$7:$T$276,5)=0,"",(VLOOKUP(V203,$P$7:$T$276,5)))))</f>
        <v/>
      </c>
      <c r="AX203" s="46" t="str">
        <f t="shared" ca="1" si="129"/>
        <v/>
      </c>
      <c r="AY203" s="46" t="str">
        <f t="shared" ref="AY203:AY266" ca="1" si="162">IF(AW203="Gewinn",AX203,IF(AW203="Total",BJ203,IF(AND(AV204=0,AV203&gt;0),BL203,IF(AND(AV203&gt;0,AV204&gt;0),"",IF(AV203&gt;0,0,"")))))</f>
        <v/>
      </c>
      <c r="BA203" s="12">
        <f>Kontenplan!R205</f>
        <v>3</v>
      </c>
      <c r="BB203" s="12">
        <f>Kontenplan!S205</f>
        <v>2</v>
      </c>
      <c r="BC203" s="12">
        <f>Kontenplan!T205</f>
        <v>4</v>
      </c>
      <c r="BD203" s="170">
        <f>Kontenplan!U205</f>
        <v>4</v>
      </c>
      <c r="BF203" s="24">
        <f ca="1">SUM(AP$7:AP203)</f>
        <v>0</v>
      </c>
      <c r="BG203" s="46">
        <f ca="1">SUM(AQ$7:AQ202)</f>
        <v>0</v>
      </c>
      <c r="BH203" s="24">
        <f t="shared" ref="BH203:BH266" ca="1" si="163">BF203-BG203</f>
        <v>0</v>
      </c>
      <c r="BI203" s="24"/>
      <c r="BJ203" s="24">
        <f ca="1">SUM(AX$7:AX203)</f>
        <v>0</v>
      </c>
      <c r="BK203" s="24">
        <f ca="1">SUM(AY$7:AY202)</f>
        <v>0</v>
      </c>
      <c r="BL203" s="24">
        <f t="shared" ref="BL203:BL266" ca="1" si="164">BJ203-BK203</f>
        <v>0</v>
      </c>
      <c r="BN203" s="24">
        <f ca="1">SUM(AB$7:AB203)</f>
        <v>0</v>
      </c>
      <c r="BO203" s="46">
        <f ca="1">SUM(AC$7:AC202)</f>
        <v>0</v>
      </c>
      <c r="BP203" s="24">
        <f t="shared" ref="BP203:BP266" ca="1" si="165">BN203-BO203</f>
        <v>0</v>
      </c>
      <c r="BR203" s="24">
        <f ca="1">SUM(AH$7:AH203)</f>
        <v>0</v>
      </c>
      <c r="BS203" s="46">
        <f ca="1">SUM(AI$7:AI202)</f>
        <v>0</v>
      </c>
      <c r="BT203" s="24">
        <f t="shared" ref="BT203:BT266" ca="1" si="166">BR203-BS203</f>
        <v>0</v>
      </c>
    </row>
    <row r="204" spans="1:72" s="12" customFormat="1">
      <c r="A204" s="202">
        <f>Kontenplan!C206</f>
        <v>0</v>
      </c>
      <c r="B204" s="224">
        <f>Kontenplan!E206</f>
        <v>0</v>
      </c>
      <c r="C204" s="225">
        <f>Kontenplan!F206</f>
        <v>0</v>
      </c>
      <c r="D204" s="43">
        <f>IF(B204=0,0,SUMIF(Journal!$F$7:$F$83,Calc!B204,Journal!$I$7:$I$83))</f>
        <v>0</v>
      </c>
      <c r="E204" s="15">
        <f>IF(B204=0,0,SUMIF(Journal!$G$7:$M278,Calc!B204,Journal!$I$7:$I$83))</f>
        <v>0</v>
      </c>
      <c r="F204" s="44">
        <f t="shared" si="130"/>
        <v>0</v>
      </c>
      <c r="G204" s="15">
        <f t="shared" si="131"/>
        <v>0</v>
      </c>
      <c r="H204" s="14" t="str">
        <f t="shared" si="132"/>
        <v xml:space="preserve"> </v>
      </c>
      <c r="I204" s="43" t="str">
        <f t="shared" si="133"/>
        <v xml:space="preserve"> </v>
      </c>
      <c r="J204" s="45" t="str">
        <f t="shared" si="134"/>
        <v xml:space="preserve"> </v>
      </c>
      <c r="K204" s="48" t="str">
        <f t="shared" si="135"/>
        <v xml:space="preserve"> </v>
      </c>
      <c r="L204" s="45" t="str">
        <f t="shared" si="136"/>
        <v xml:space="preserve"> </v>
      </c>
      <c r="M204" s="48" t="str">
        <f t="shared" si="137"/>
        <v xml:space="preserve"> </v>
      </c>
      <c r="N204" s="24"/>
      <c r="O204" s="12">
        <f t="shared" si="138"/>
        <v>10.037599999999912</v>
      </c>
      <c r="P204" s="12">
        <f t="shared" si="139"/>
        <v>9.0357999999999166</v>
      </c>
      <c r="Q204" s="12">
        <f t="shared" si="140"/>
        <v>31.029599999999931</v>
      </c>
      <c r="R204" s="12">
        <f t="shared" si="141"/>
        <v>29.023799999999945</v>
      </c>
      <c r="S204" s="12">
        <f t="shared" si="142"/>
        <v>0</v>
      </c>
      <c r="T204" s="12">
        <f t="shared" si="143"/>
        <v>0</v>
      </c>
      <c r="U204" s="43">
        <f>IF(OR(A204=Kontenplan!$C$3,A204=Kontenplan!$C$5),F204-G204,G204-F204)</f>
        <v>0</v>
      </c>
      <c r="V204" s="171">
        <f t="shared" si="126"/>
        <v>198</v>
      </c>
      <c r="W204" s="12">
        <f t="shared" si="127"/>
        <v>171</v>
      </c>
      <c r="X204" s="12">
        <f t="shared" si="128"/>
        <v>173</v>
      </c>
      <c r="Y204" s="12">
        <f>IF(Z204=0,VLOOKUP(W204,Kontenplan!$Y$9:$AA$551,3),"")</f>
        <v>0</v>
      </c>
      <c r="Z204" s="12">
        <f t="shared" si="144"/>
        <v>0</v>
      </c>
      <c r="AA204" s="12" t="str">
        <f t="shared" ca="1" si="145"/>
        <v/>
      </c>
      <c r="AB204" s="46" t="str">
        <f t="shared" ca="1" si="146"/>
        <v/>
      </c>
      <c r="AC204" s="46" t="str">
        <f t="shared" ca="1" si="147"/>
        <v/>
      </c>
      <c r="AD204" s="47"/>
      <c r="AE204" s="12">
        <f>IF(AF204=0,VLOOKUP(X204,Kontenplan!$Z$9:$AB$551,3),"")</f>
        <v>0</v>
      </c>
      <c r="AF204" s="47">
        <f t="shared" si="148"/>
        <v>0</v>
      </c>
      <c r="AG204" s="12" t="str">
        <f t="shared" ca="1" si="149"/>
        <v/>
      </c>
      <c r="AH204" s="46" t="str">
        <f t="shared" ca="1" si="150"/>
        <v/>
      </c>
      <c r="AI204" s="46" t="str">
        <f t="shared" ca="1" si="151"/>
        <v/>
      </c>
      <c r="AJ204" s="46"/>
      <c r="AK204" s="147">
        <f t="shared" ca="1" si="152"/>
        <v>2.0188000000000397</v>
      </c>
      <c r="AL204" s="147">
        <f t="shared" si="153"/>
        <v>2.0191000000000403</v>
      </c>
      <c r="AM204" s="12" t="str">
        <f>IF(V204&lt;=AO$3,VLOOKUP(V204,Kontenplan!$A$9:$D$278,4),"")</f>
        <v/>
      </c>
      <c r="AN204" s="12">
        <f t="shared" si="154"/>
        <v>0</v>
      </c>
      <c r="AO204" s="12" t="str">
        <f t="shared" ca="1" si="155"/>
        <v/>
      </c>
      <c r="AP204" s="46" t="str">
        <f t="shared" ca="1" si="156"/>
        <v/>
      </c>
      <c r="AQ204" s="46" t="str">
        <f t="shared" ca="1" si="157"/>
        <v/>
      </c>
      <c r="AR204" s="46"/>
      <c r="AS204" s="147">
        <f t="shared" ca="1" si="158"/>
        <v>3.0187000000000395</v>
      </c>
      <c r="AT204" s="147">
        <f t="shared" si="159"/>
        <v>2.0192000000000405</v>
      </c>
      <c r="AU204" s="47" t="str">
        <f>IF(V204&lt;=AW$3,VLOOKUP(AO$3+V204,Kontenplan!$A$9:$D$278,4),"")</f>
        <v/>
      </c>
      <c r="AV204" s="12">
        <f t="shared" si="160"/>
        <v>0</v>
      </c>
      <c r="AW204" s="12" t="str">
        <f t="shared" ca="1" si="161"/>
        <v/>
      </c>
      <c r="AX204" s="46" t="str">
        <f t="shared" ca="1" si="129"/>
        <v/>
      </c>
      <c r="AY204" s="46" t="str">
        <f t="shared" ca="1" si="162"/>
        <v/>
      </c>
      <c r="BA204" s="12">
        <f>Kontenplan!R206</f>
        <v>3</v>
      </c>
      <c r="BB204" s="12">
        <f>Kontenplan!S206</f>
        <v>2</v>
      </c>
      <c r="BC204" s="12">
        <f>Kontenplan!T206</f>
        <v>4</v>
      </c>
      <c r="BD204" s="170">
        <f>Kontenplan!U206</f>
        <v>4</v>
      </c>
      <c r="BF204" s="24">
        <f ca="1">SUM(AP$7:AP204)</f>
        <v>0</v>
      </c>
      <c r="BG204" s="46">
        <f ca="1">SUM(AQ$7:AQ203)</f>
        <v>0</v>
      </c>
      <c r="BH204" s="24">
        <f t="shared" ca="1" si="163"/>
        <v>0</v>
      </c>
      <c r="BI204" s="24"/>
      <c r="BJ204" s="24">
        <f ca="1">SUM(AX$7:AX204)</f>
        <v>0</v>
      </c>
      <c r="BK204" s="24">
        <f ca="1">SUM(AY$7:AY203)</f>
        <v>0</v>
      </c>
      <c r="BL204" s="24">
        <f t="shared" ca="1" si="164"/>
        <v>0</v>
      </c>
      <c r="BN204" s="24">
        <f ca="1">SUM(AB$7:AB204)</f>
        <v>0</v>
      </c>
      <c r="BO204" s="46">
        <f ca="1">SUM(AC$7:AC203)</f>
        <v>0</v>
      </c>
      <c r="BP204" s="24">
        <f t="shared" ca="1" si="165"/>
        <v>0</v>
      </c>
      <c r="BR204" s="24">
        <f ca="1">SUM(AH$7:AH204)</f>
        <v>0</v>
      </c>
      <c r="BS204" s="46">
        <f ca="1">SUM(AI$7:AI203)</f>
        <v>0</v>
      </c>
      <c r="BT204" s="24">
        <f t="shared" ca="1" si="166"/>
        <v>0</v>
      </c>
    </row>
    <row r="205" spans="1:72" s="12" customFormat="1">
      <c r="A205" s="202">
        <f>Kontenplan!C207</f>
        <v>0</v>
      </c>
      <c r="B205" s="224">
        <f>Kontenplan!E207</f>
        <v>0</v>
      </c>
      <c r="C205" s="225">
        <f>Kontenplan!F207</f>
        <v>0</v>
      </c>
      <c r="D205" s="43">
        <f>IF(B205=0,0,SUMIF(Journal!$F$7:$F$83,Calc!B205,Journal!$I$7:$I$83))</f>
        <v>0</v>
      </c>
      <c r="E205" s="15">
        <f>IF(B205=0,0,SUMIF(Journal!$G$7:$M279,Calc!B205,Journal!$I$7:$I$83))</f>
        <v>0</v>
      </c>
      <c r="F205" s="44">
        <f t="shared" si="130"/>
        <v>0</v>
      </c>
      <c r="G205" s="15">
        <f t="shared" si="131"/>
        <v>0</v>
      </c>
      <c r="H205" s="14" t="str">
        <f t="shared" si="132"/>
        <v xml:space="preserve"> </v>
      </c>
      <c r="I205" s="43" t="str">
        <f t="shared" si="133"/>
        <v xml:space="preserve"> </v>
      </c>
      <c r="J205" s="45" t="str">
        <f t="shared" si="134"/>
        <v xml:space="preserve"> </v>
      </c>
      <c r="K205" s="48" t="str">
        <f t="shared" si="135"/>
        <v xml:space="preserve"> </v>
      </c>
      <c r="L205" s="45" t="str">
        <f t="shared" si="136"/>
        <v xml:space="preserve"> </v>
      </c>
      <c r="M205" s="48" t="str">
        <f t="shared" si="137"/>
        <v xml:space="preserve"> </v>
      </c>
      <c r="N205" s="24"/>
      <c r="O205" s="12">
        <f t="shared" si="138"/>
        <v>10.037799999999912</v>
      </c>
      <c r="P205" s="12">
        <f t="shared" si="139"/>
        <v>9.0359999999999161</v>
      </c>
      <c r="Q205" s="12">
        <f t="shared" si="140"/>
        <v>31.029799999999931</v>
      </c>
      <c r="R205" s="12">
        <f t="shared" si="141"/>
        <v>29.023999999999944</v>
      </c>
      <c r="S205" s="12">
        <f t="shared" si="142"/>
        <v>0</v>
      </c>
      <c r="T205" s="12">
        <f t="shared" si="143"/>
        <v>0</v>
      </c>
      <c r="U205" s="43">
        <f>IF(OR(A205=Kontenplan!$C$3,A205=Kontenplan!$C$5),F205-G205,G205-F205)</f>
        <v>0</v>
      </c>
      <c r="V205" s="171">
        <f t="shared" si="126"/>
        <v>199</v>
      </c>
      <c r="W205" s="12">
        <f t="shared" si="127"/>
        <v>172</v>
      </c>
      <c r="X205" s="12">
        <f t="shared" si="128"/>
        <v>174</v>
      </c>
      <c r="Y205" s="12">
        <f>IF(Z205=0,VLOOKUP(W205,Kontenplan!$Y$9:$AA$551,3),"")</f>
        <v>0</v>
      </c>
      <c r="Z205" s="12">
        <f t="shared" si="144"/>
        <v>0</v>
      </c>
      <c r="AA205" s="12" t="str">
        <f t="shared" ca="1" si="145"/>
        <v/>
      </c>
      <c r="AB205" s="46" t="str">
        <f t="shared" ca="1" si="146"/>
        <v/>
      </c>
      <c r="AC205" s="46" t="str">
        <f t="shared" ca="1" si="147"/>
        <v/>
      </c>
      <c r="AD205" s="47"/>
      <c r="AE205" s="12">
        <f>IF(AF205=0,VLOOKUP(X205,Kontenplan!$Z$9:$AB$551,3),"")</f>
        <v>0</v>
      </c>
      <c r="AF205" s="47">
        <f t="shared" si="148"/>
        <v>0</v>
      </c>
      <c r="AG205" s="12" t="str">
        <f t="shared" ca="1" si="149"/>
        <v/>
      </c>
      <c r="AH205" s="46" t="str">
        <f t="shared" ca="1" si="150"/>
        <v/>
      </c>
      <c r="AI205" s="46" t="str">
        <f t="shared" ca="1" si="151"/>
        <v/>
      </c>
      <c r="AJ205" s="46"/>
      <c r="AK205" s="147">
        <f t="shared" ca="1" si="152"/>
        <v>2.0189000000000399</v>
      </c>
      <c r="AL205" s="147">
        <f t="shared" si="153"/>
        <v>2.0192000000000405</v>
      </c>
      <c r="AM205" s="12" t="str">
        <f>IF(V205&lt;=AO$3,VLOOKUP(V205,Kontenplan!$A$9:$D$278,4),"")</f>
        <v/>
      </c>
      <c r="AN205" s="12">
        <f t="shared" si="154"/>
        <v>0</v>
      </c>
      <c r="AO205" s="12" t="str">
        <f t="shared" ca="1" si="155"/>
        <v/>
      </c>
      <c r="AP205" s="46" t="str">
        <f t="shared" ca="1" si="156"/>
        <v/>
      </c>
      <c r="AQ205" s="46" t="str">
        <f t="shared" ca="1" si="157"/>
        <v/>
      </c>
      <c r="AR205" s="46"/>
      <c r="AS205" s="147">
        <f t="shared" ca="1" si="158"/>
        <v>3.0188000000000397</v>
      </c>
      <c r="AT205" s="147">
        <f t="shared" si="159"/>
        <v>2.0193000000000407</v>
      </c>
      <c r="AU205" s="47" t="str">
        <f>IF(V205&lt;=AW$3,VLOOKUP(AO$3+V205,Kontenplan!$A$9:$D$278,4),"")</f>
        <v/>
      </c>
      <c r="AV205" s="12">
        <f t="shared" si="160"/>
        <v>0</v>
      </c>
      <c r="AW205" s="12" t="str">
        <f t="shared" ca="1" si="161"/>
        <v/>
      </c>
      <c r="AX205" s="46" t="str">
        <f t="shared" ca="1" si="129"/>
        <v/>
      </c>
      <c r="AY205" s="46" t="str">
        <f t="shared" ca="1" si="162"/>
        <v/>
      </c>
      <c r="BA205" s="12">
        <f>Kontenplan!R207</f>
        <v>3</v>
      </c>
      <c r="BB205" s="12">
        <f>Kontenplan!S207</f>
        <v>2</v>
      </c>
      <c r="BC205" s="12">
        <f>Kontenplan!T207</f>
        <v>4</v>
      </c>
      <c r="BD205" s="170">
        <f>Kontenplan!U207</f>
        <v>4</v>
      </c>
      <c r="BF205" s="24">
        <f ca="1">SUM(AP$7:AP205)</f>
        <v>0</v>
      </c>
      <c r="BG205" s="46">
        <f ca="1">SUM(AQ$7:AQ204)</f>
        <v>0</v>
      </c>
      <c r="BH205" s="24">
        <f t="shared" ca="1" si="163"/>
        <v>0</v>
      </c>
      <c r="BI205" s="24"/>
      <c r="BJ205" s="24">
        <f ca="1">SUM(AX$7:AX205)</f>
        <v>0</v>
      </c>
      <c r="BK205" s="24">
        <f ca="1">SUM(AY$7:AY204)</f>
        <v>0</v>
      </c>
      <c r="BL205" s="24">
        <f t="shared" ca="1" si="164"/>
        <v>0</v>
      </c>
      <c r="BN205" s="24">
        <f ca="1">SUM(AB$7:AB205)</f>
        <v>0</v>
      </c>
      <c r="BO205" s="46">
        <f ca="1">SUM(AC$7:AC204)</f>
        <v>0</v>
      </c>
      <c r="BP205" s="24">
        <f t="shared" ca="1" si="165"/>
        <v>0</v>
      </c>
      <c r="BR205" s="24">
        <f ca="1">SUM(AH$7:AH205)</f>
        <v>0</v>
      </c>
      <c r="BS205" s="46">
        <f ca="1">SUM(AI$7:AI204)</f>
        <v>0</v>
      </c>
      <c r="BT205" s="24">
        <f t="shared" ca="1" si="166"/>
        <v>0</v>
      </c>
    </row>
    <row r="206" spans="1:72" s="12" customFormat="1">
      <c r="A206" s="202">
        <f>Kontenplan!C208</f>
        <v>0</v>
      </c>
      <c r="B206" s="224">
        <f>Kontenplan!E208</f>
        <v>0</v>
      </c>
      <c r="C206" s="225">
        <f>Kontenplan!F208</f>
        <v>0</v>
      </c>
      <c r="D206" s="43">
        <f>IF(B206=0,0,SUMIF(Journal!$F$7:$F$83,Calc!B206,Journal!$I$7:$I$83))</f>
        <v>0</v>
      </c>
      <c r="E206" s="15">
        <f>IF(B206=0,0,SUMIF(Journal!$G$7:$M280,Calc!B206,Journal!$I$7:$I$83))</f>
        <v>0</v>
      </c>
      <c r="F206" s="44">
        <f t="shared" si="130"/>
        <v>0</v>
      </c>
      <c r="G206" s="15">
        <f t="shared" si="131"/>
        <v>0</v>
      </c>
      <c r="H206" s="14" t="str">
        <f t="shared" si="132"/>
        <v xml:space="preserve"> </v>
      </c>
      <c r="I206" s="43" t="str">
        <f t="shared" si="133"/>
        <v xml:space="preserve"> </v>
      </c>
      <c r="J206" s="45" t="str">
        <f t="shared" si="134"/>
        <v xml:space="preserve"> </v>
      </c>
      <c r="K206" s="48" t="str">
        <f t="shared" si="135"/>
        <v xml:space="preserve"> </v>
      </c>
      <c r="L206" s="45" t="str">
        <f t="shared" si="136"/>
        <v xml:space="preserve"> </v>
      </c>
      <c r="M206" s="48" t="str">
        <f t="shared" si="137"/>
        <v xml:space="preserve"> </v>
      </c>
      <c r="N206" s="24"/>
      <c r="O206" s="12">
        <f t="shared" si="138"/>
        <v>10.037999999999911</v>
      </c>
      <c r="P206" s="12">
        <f t="shared" si="139"/>
        <v>9.0361999999999156</v>
      </c>
      <c r="Q206" s="12">
        <f t="shared" si="140"/>
        <v>31.02999999999993</v>
      </c>
      <c r="R206" s="12">
        <f t="shared" si="141"/>
        <v>29.024199999999944</v>
      </c>
      <c r="S206" s="12">
        <f t="shared" si="142"/>
        <v>0</v>
      </c>
      <c r="T206" s="12">
        <f t="shared" si="143"/>
        <v>0</v>
      </c>
      <c r="U206" s="43">
        <f>IF(OR(A206=Kontenplan!$C$3,A206=Kontenplan!$C$5),F206-G206,G206-F206)</f>
        <v>0</v>
      </c>
      <c r="V206" s="171">
        <f t="shared" si="126"/>
        <v>200</v>
      </c>
      <c r="W206" s="12">
        <f t="shared" si="127"/>
        <v>173</v>
      </c>
      <c r="X206" s="12">
        <f t="shared" si="128"/>
        <v>175</v>
      </c>
      <c r="Y206" s="12">
        <f>IF(Z206=0,VLOOKUP(W206,Kontenplan!$Y$9:$AA$551,3),"")</f>
        <v>0</v>
      </c>
      <c r="Z206" s="12">
        <f t="shared" si="144"/>
        <v>0</v>
      </c>
      <c r="AA206" s="12" t="str">
        <f t="shared" ca="1" si="145"/>
        <v/>
      </c>
      <c r="AB206" s="46" t="str">
        <f t="shared" ca="1" si="146"/>
        <v/>
      </c>
      <c r="AC206" s="46" t="str">
        <f t="shared" ca="1" si="147"/>
        <v/>
      </c>
      <c r="AD206" s="47"/>
      <c r="AE206" s="12">
        <f>IF(AF206=0,VLOOKUP(X206,Kontenplan!$Z$9:$AB$551,3),"")</f>
        <v>0</v>
      </c>
      <c r="AF206" s="47">
        <f t="shared" si="148"/>
        <v>0</v>
      </c>
      <c r="AG206" s="12" t="str">
        <f t="shared" ca="1" si="149"/>
        <v/>
      </c>
      <c r="AH206" s="46" t="str">
        <f t="shared" ca="1" si="150"/>
        <v/>
      </c>
      <c r="AI206" s="46" t="str">
        <f t="shared" ca="1" si="151"/>
        <v/>
      </c>
      <c r="AJ206" s="46"/>
      <c r="AK206" s="147">
        <f t="shared" ca="1" si="152"/>
        <v>2.0190000000000401</v>
      </c>
      <c r="AL206" s="147">
        <f t="shared" si="153"/>
        <v>2.0193000000000407</v>
      </c>
      <c r="AM206" s="12" t="str">
        <f>IF(V206&lt;=AO$3,VLOOKUP(V206,Kontenplan!$A$9:$D$278,4),"")</f>
        <v/>
      </c>
      <c r="AN206" s="12">
        <f t="shared" si="154"/>
        <v>0</v>
      </c>
      <c r="AO206" s="12" t="str">
        <f t="shared" ca="1" si="155"/>
        <v/>
      </c>
      <c r="AP206" s="46" t="str">
        <f t="shared" ca="1" si="156"/>
        <v/>
      </c>
      <c r="AQ206" s="46" t="str">
        <f t="shared" ca="1" si="157"/>
        <v/>
      </c>
      <c r="AR206" s="46"/>
      <c r="AS206" s="147">
        <f t="shared" ca="1" si="158"/>
        <v>3.0189000000000399</v>
      </c>
      <c r="AT206" s="147">
        <f t="shared" si="159"/>
        <v>2.0194000000000409</v>
      </c>
      <c r="AU206" s="47" t="str">
        <f>IF(V206&lt;=AW$3,VLOOKUP(AO$3+V206,Kontenplan!$A$9:$D$278,4),"")</f>
        <v/>
      </c>
      <c r="AV206" s="12">
        <f t="shared" si="160"/>
        <v>0</v>
      </c>
      <c r="AW206" s="12" t="str">
        <f t="shared" ca="1" si="161"/>
        <v/>
      </c>
      <c r="AX206" s="46" t="str">
        <f t="shared" ca="1" si="129"/>
        <v/>
      </c>
      <c r="AY206" s="46" t="str">
        <f t="shared" ca="1" si="162"/>
        <v/>
      </c>
      <c r="BA206" s="12">
        <f>Kontenplan!R208</f>
        <v>3</v>
      </c>
      <c r="BB206" s="12">
        <f>Kontenplan!S208</f>
        <v>2</v>
      </c>
      <c r="BC206" s="12">
        <f>Kontenplan!T208</f>
        <v>4</v>
      </c>
      <c r="BD206" s="170">
        <f>Kontenplan!U208</f>
        <v>4</v>
      </c>
      <c r="BF206" s="24">
        <f ca="1">SUM(AP$7:AP206)</f>
        <v>0</v>
      </c>
      <c r="BG206" s="46">
        <f ca="1">SUM(AQ$7:AQ205)</f>
        <v>0</v>
      </c>
      <c r="BH206" s="24">
        <f t="shared" ca="1" si="163"/>
        <v>0</v>
      </c>
      <c r="BI206" s="24"/>
      <c r="BJ206" s="24">
        <f ca="1">SUM(AX$7:AX206)</f>
        <v>0</v>
      </c>
      <c r="BK206" s="24">
        <f ca="1">SUM(AY$7:AY205)</f>
        <v>0</v>
      </c>
      <c r="BL206" s="24">
        <f t="shared" ca="1" si="164"/>
        <v>0</v>
      </c>
      <c r="BN206" s="24">
        <f ca="1">SUM(AB$7:AB206)</f>
        <v>0</v>
      </c>
      <c r="BO206" s="46">
        <f ca="1">SUM(AC$7:AC205)</f>
        <v>0</v>
      </c>
      <c r="BP206" s="24">
        <f t="shared" ca="1" si="165"/>
        <v>0</v>
      </c>
      <c r="BR206" s="24">
        <f ca="1">SUM(AH$7:AH206)</f>
        <v>0</v>
      </c>
      <c r="BS206" s="46">
        <f ca="1">SUM(AI$7:AI205)</f>
        <v>0</v>
      </c>
      <c r="BT206" s="24">
        <f t="shared" ca="1" si="166"/>
        <v>0</v>
      </c>
    </row>
    <row r="207" spans="1:72" s="12" customFormat="1">
      <c r="A207" s="202">
        <f>Kontenplan!C209</f>
        <v>0</v>
      </c>
      <c r="B207" s="224">
        <f>Kontenplan!E209</f>
        <v>0</v>
      </c>
      <c r="C207" s="225">
        <f>Kontenplan!F209</f>
        <v>0</v>
      </c>
      <c r="D207" s="43">
        <f>IF(B207=0,0,SUMIF(Journal!$F$7:$F$83,Calc!B207,Journal!$I$7:$I$83))</f>
        <v>0</v>
      </c>
      <c r="E207" s="15">
        <f>IF(B207=0,0,SUMIF(Journal!$G$7:$M281,Calc!B207,Journal!$I$7:$I$83))</f>
        <v>0</v>
      </c>
      <c r="F207" s="44">
        <f t="shared" si="130"/>
        <v>0</v>
      </c>
      <c r="G207" s="15">
        <f t="shared" si="131"/>
        <v>0</v>
      </c>
      <c r="H207" s="14" t="str">
        <f t="shared" si="132"/>
        <v xml:space="preserve"> </v>
      </c>
      <c r="I207" s="43" t="str">
        <f t="shared" si="133"/>
        <v xml:space="preserve"> </v>
      </c>
      <c r="J207" s="45" t="str">
        <f t="shared" si="134"/>
        <v xml:space="preserve"> </v>
      </c>
      <c r="K207" s="48" t="str">
        <f t="shared" si="135"/>
        <v xml:space="preserve"> </v>
      </c>
      <c r="L207" s="45" t="str">
        <f t="shared" si="136"/>
        <v xml:space="preserve"> </v>
      </c>
      <c r="M207" s="48" t="str">
        <f t="shared" si="137"/>
        <v xml:space="preserve"> </v>
      </c>
      <c r="N207" s="24"/>
      <c r="O207" s="12">
        <f t="shared" si="138"/>
        <v>10.038199999999911</v>
      </c>
      <c r="P207" s="12">
        <f t="shared" si="139"/>
        <v>9.0363999999999152</v>
      </c>
      <c r="Q207" s="12">
        <f t="shared" si="140"/>
        <v>31.03019999999993</v>
      </c>
      <c r="R207" s="12">
        <f t="shared" si="141"/>
        <v>29.024399999999943</v>
      </c>
      <c r="S207" s="12">
        <f t="shared" si="142"/>
        <v>0</v>
      </c>
      <c r="T207" s="12">
        <f t="shared" si="143"/>
        <v>0</v>
      </c>
      <c r="U207" s="43">
        <f>IF(OR(A207=Kontenplan!$C$3,A207=Kontenplan!$C$5),F207-G207,G207-F207)</f>
        <v>0</v>
      </c>
      <c r="V207" s="171">
        <f t="shared" si="126"/>
        <v>201</v>
      </c>
      <c r="W207" s="12">
        <f t="shared" si="127"/>
        <v>174</v>
      </c>
      <c r="X207" s="12">
        <f t="shared" si="128"/>
        <v>176</v>
      </c>
      <c r="Y207" s="12">
        <f>IF(Z207=0,VLOOKUP(W207,Kontenplan!$Y$9:$AA$551,3),"")</f>
        <v>0</v>
      </c>
      <c r="Z207" s="12">
        <f t="shared" si="144"/>
        <v>0</v>
      </c>
      <c r="AA207" s="12" t="str">
        <f t="shared" ca="1" si="145"/>
        <v/>
      </c>
      <c r="AB207" s="46" t="str">
        <f t="shared" ca="1" si="146"/>
        <v/>
      </c>
      <c r="AC207" s="46" t="str">
        <f t="shared" ca="1" si="147"/>
        <v/>
      </c>
      <c r="AD207" s="47"/>
      <c r="AE207" s="12">
        <f>IF(AF207=0,VLOOKUP(X207,Kontenplan!$Z$9:$AB$551,3),"")</f>
        <v>0</v>
      </c>
      <c r="AF207" s="47">
        <f t="shared" si="148"/>
        <v>0</v>
      </c>
      <c r="AG207" s="12" t="str">
        <f t="shared" ca="1" si="149"/>
        <v/>
      </c>
      <c r="AH207" s="46" t="str">
        <f t="shared" ca="1" si="150"/>
        <v/>
      </c>
      <c r="AI207" s="46" t="str">
        <f t="shared" ca="1" si="151"/>
        <v/>
      </c>
      <c r="AJ207" s="46"/>
      <c r="AK207" s="147">
        <f t="shared" ca="1" si="152"/>
        <v>2.0191000000000403</v>
      </c>
      <c r="AL207" s="147">
        <f t="shared" si="153"/>
        <v>2.0194000000000409</v>
      </c>
      <c r="AM207" s="12" t="str">
        <f>IF(V207&lt;=AO$3,VLOOKUP(V207,Kontenplan!$A$9:$D$278,4),"")</f>
        <v/>
      </c>
      <c r="AN207" s="12">
        <f t="shared" si="154"/>
        <v>0</v>
      </c>
      <c r="AO207" s="12" t="str">
        <f t="shared" ca="1" si="155"/>
        <v/>
      </c>
      <c r="AP207" s="46" t="str">
        <f t="shared" ca="1" si="156"/>
        <v/>
      </c>
      <c r="AQ207" s="46" t="str">
        <f t="shared" ca="1" si="157"/>
        <v/>
      </c>
      <c r="AR207" s="46"/>
      <c r="AS207" s="147">
        <f t="shared" ca="1" si="158"/>
        <v>3.0190000000000401</v>
      </c>
      <c r="AT207" s="147">
        <f t="shared" si="159"/>
        <v>2.0195000000000412</v>
      </c>
      <c r="AU207" s="47" t="str">
        <f>IF(V207&lt;=AW$3,VLOOKUP(AO$3+V207,Kontenplan!$A$9:$D$278,4),"")</f>
        <v/>
      </c>
      <c r="AV207" s="12">
        <f t="shared" si="160"/>
        <v>0</v>
      </c>
      <c r="AW207" s="12" t="str">
        <f t="shared" ca="1" si="161"/>
        <v/>
      </c>
      <c r="AX207" s="46" t="str">
        <f t="shared" ca="1" si="129"/>
        <v/>
      </c>
      <c r="AY207" s="46" t="str">
        <f t="shared" ca="1" si="162"/>
        <v/>
      </c>
      <c r="BA207" s="12">
        <f>Kontenplan!R209</f>
        <v>3</v>
      </c>
      <c r="BB207" s="12">
        <f>Kontenplan!S209</f>
        <v>2</v>
      </c>
      <c r="BC207" s="12">
        <f>Kontenplan!T209</f>
        <v>4</v>
      </c>
      <c r="BD207" s="170">
        <f>Kontenplan!U209</f>
        <v>4</v>
      </c>
      <c r="BF207" s="24">
        <f ca="1">SUM(AP$7:AP207)</f>
        <v>0</v>
      </c>
      <c r="BG207" s="46">
        <f ca="1">SUM(AQ$7:AQ206)</f>
        <v>0</v>
      </c>
      <c r="BH207" s="24">
        <f t="shared" ca="1" si="163"/>
        <v>0</v>
      </c>
      <c r="BI207" s="24"/>
      <c r="BJ207" s="24">
        <f ca="1">SUM(AX$7:AX207)</f>
        <v>0</v>
      </c>
      <c r="BK207" s="24">
        <f ca="1">SUM(AY$7:AY206)</f>
        <v>0</v>
      </c>
      <c r="BL207" s="24">
        <f t="shared" ca="1" si="164"/>
        <v>0</v>
      </c>
      <c r="BN207" s="24">
        <f ca="1">SUM(AB$7:AB207)</f>
        <v>0</v>
      </c>
      <c r="BO207" s="46">
        <f ca="1">SUM(AC$7:AC206)</f>
        <v>0</v>
      </c>
      <c r="BP207" s="24">
        <f t="shared" ca="1" si="165"/>
        <v>0</v>
      </c>
      <c r="BR207" s="24">
        <f ca="1">SUM(AH$7:AH207)</f>
        <v>0</v>
      </c>
      <c r="BS207" s="46">
        <f ca="1">SUM(AI$7:AI206)</f>
        <v>0</v>
      </c>
      <c r="BT207" s="24">
        <f t="shared" ca="1" si="166"/>
        <v>0</v>
      </c>
    </row>
    <row r="208" spans="1:72" s="12" customFormat="1">
      <c r="A208" s="202">
        <f>Kontenplan!C210</f>
        <v>0</v>
      </c>
      <c r="B208" s="224">
        <f>Kontenplan!E210</f>
        <v>0</v>
      </c>
      <c r="C208" s="225">
        <f>Kontenplan!F210</f>
        <v>0</v>
      </c>
      <c r="D208" s="43">
        <f>IF(B208=0,0,SUMIF(Journal!$F$7:$F$83,Calc!B208,Journal!$I$7:$I$83))</f>
        <v>0</v>
      </c>
      <c r="E208" s="15">
        <f>IF(B208=0,0,SUMIF(Journal!$G$7:$M282,Calc!B208,Journal!$I$7:$I$83))</f>
        <v>0</v>
      </c>
      <c r="F208" s="44">
        <f t="shared" si="130"/>
        <v>0</v>
      </c>
      <c r="G208" s="15">
        <f t="shared" si="131"/>
        <v>0</v>
      </c>
      <c r="H208" s="14" t="str">
        <f t="shared" si="132"/>
        <v xml:space="preserve"> </v>
      </c>
      <c r="I208" s="43" t="str">
        <f t="shared" si="133"/>
        <v xml:space="preserve"> </v>
      </c>
      <c r="J208" s="45" t="str">
        <f t="shared" si="134"/>
        <v xml:space="preserve"> </v>
      </c>
      <c r="K208" s="48" t="str">
        <f t="shared" si="135"/>
        <v xml:space="preserve"> </v>
      </c>
      <c r="L208" s="45" t="str">
        <f t="shared" si="136"/>
        <v xml:space="preserve"> </v>
      </c>
      <c r="M208" s="48" t="str">
        <f t="shared" si="137"/>
        <v xml:space="preserve"> </v>
      </c>
      <c r="N208" s="24"/>
      <c r="O208" s="12">
        <f t="shared" si="138"/>
        <v>10.038399999999911</v>
      </c>
      <c r="P208" s="12">
        <f t="shared" si="139"/>
        <v>9.0365999999999147</v>
      </c>
      <c r="Q208" s="12">
        <f t="shared" si="140"/>
        <v>31.030399999999929</v>
      </c>
      <c r="R208" s="12">
        <f t="shared" si="141"/>
        <v>29.024599999999943</v>
      </c>
      <c r="S208" s="12">
        <f t="shared" si="142"/>
        <v>0</v>
      </c>
      <c r="T208" s="12">
        <f t="shared" si="143"/>
        <v>0</v>
      </c>
      <c r="U208" s="43">
        <f>IF(OR(A208=Kontenplan!$C$3,A208=Kontenplan!$C$5),F208-G208,G208-F208)</f>
        <v>0</v>
      </c>
      <c r="V208" s="171">
        <f t="shared" si="126"/>
        <v>202</v>
      </c>
      <c r="W208" s="12">
        <f t="shared" si="127"/>
        <v>175</v>
      </c>
      <c r="X208" s="12">
        <f t="shared" si="128"/>
        <v>177</v>
      </c>
      <c r="Y208" s="12">
        <f>IF(Z208=0,VLOOKUP(W208,Kontenplan!$Y$9:$AA$551,3),"")</f>
        <v>0</v>
      </c>
      <c r="Z208" s="12">
        <f t="shared" si="144"/>
        <v>0</v>
      </c>
      <c r="AA208" s="12" t="str">
        <f t="shared" ca="1" si="145"/>
        <v/>
      </c>
      <c r="AB208" s="46" t="str">
        <f t="shared" ca="1" si="146"/>
        <v/>
      </c>
      <c r="AC208" s="46" t="str">
        <f t="shared" ca="1" si="147"/>
        <v/>
      </c>
      <c r="AD208" s="47"/>
      <c r="AE208" s="12">
        <f>IF(AF208=0,VLOOKUP(X208,Kontenplan!$Z$9:$AB$551,3),"")</f>
        <v>0</v>
      </c>
      <c r="AF208" s="47">
        <f t="shared" si="148"/>
        <v>0</v>
      </c>
      <c r="AG208" s="12" t="str">
        <f t="shared" ca="1" si="149"/>
        <v/>
      </c>
      <c r="AH208" s="46" t="str">
        <f t="shared" ca="1" si="150"/>
        <v/>
      </c>
      <c r="AI208" s="46" t="str">
        <f t="shared" ca="1" si="151"/>
        <v/>
      </c>
      <c r="AJ208" s="46"/>
      <c r="AK208" s="147">
        <f t="shared" ca="1" si="152"/>
        <v>2.0192000000000405</v>
      </c>
      <c r="AL208" s="147">
        <f t="shared" si="153"/>
        <v>2.0195000000000412</v>
      </c>
      <c r="AM208" s="12" t="str">
        <f>IF(V208&lt;=AO$3,VLOOKUP(V208,Kontenplan!$A$9:$D$278,4),"")</f>
        <v/>
      </c>
      <c r="AN208" s="12">
        <f t="shared" si="154"/>
        <v>0</v>
      </c>
      <c r="AO208" s="12" t="str">
        <f t="shared" ca="1" si="155"/>
        <v/>
      </c>
      <c r="AP208" s="46" t="str">
        <f t="shared" ca="1" si="156"/>
        <v/>
      </c>
      <c r="AQ208" s="46" t="str">
        <f t="shared" ca="1" si="157"/>
        <v/>
      </c>
      <c r="AR208" s="46"/>
      <c r="AS208" s="147">
        <f t="shared" ca="1" si="158"/>
        <v>3.0191000000000403</v>
      </c>
      <c r="AT208" s="147">
        <f t="shared" si="159"/>
        <v>2.0196000000000414</v>
      </c>
      <c r="AU208" s="47" t="str">
        <f>IF(V208&lt;=AW$3,VLOOKUP(AO$3+V208,Kontenplan!$A$9:$D$278,4),"")</f>
        <v/>
      </c>
      <c r="AV208" s="12">
        <f t="shared" si="160"/>
        <v>0</v>
      </c>
      <c r="AW208" s="12" t="str">
        <f t="shared" ca="1" si="161"/>
        <v/>
      </c>
      <c r="AX208" s="46" t="str">
        <f t="shared" ca="1" si="129"/>
        <v/>
      </c>
      <c r="AY208" s="46" t="str">
        <f t="shared" ca="1" si="162"/>
        <v/>
      </c>
      <c r="BA208" s="12">
        <f>Kontenplan!R210</f>
        <v>3</v>
      </c>
      <c r="BB208" s="12">
        <f>Kontenplan!S210</f>
        <v>2</v>
      </c>
      <c r="BC208" s="12">
        <f>Kontenplan!T210</f>
        <v>4</v>
      </c>
      <c r="BD208" s="170">
        <f>Kontenplan!U210</f>
        <v>4</v>
      </c>
      <c r="BF208" s="24">
        <f ca="1">SUM(AP$7:AP208)</f>
        <v>0</v>
      </c>
      <c r="BG208" s="46">
        <f ca="1">SUM(AQ$7:AQ207)</f>
        <v>0</v>
      </c>
      <c r="BH208" s="24">
        <f t="shared" ca="1" si="163"/>
        <v>0</v>
      </c>
      <c r="BI208" s="24"/>
      <c r="BJ208" s="24">
        <f ca="1">SUM(AX$7:AX208)</f>
        <v>0</v>
      </c>
      <c r="BK208" s="24">
        <f ca="1">SUM(AY$7:AY207)</f>
        <v>0</v>
      </c>
      <c r="BL208" s="24">
        <f t="shared" ca="1" si="164"/>
        <v>0</v>
      </c>
      <c r="BN208" s="24">
        <f ca="1">SUM(AB$7:AB208)</f>
        <v>0</v>
      </c>
      <c r="BO208" s="46">
        <f ca="1">SUM(AC$7:AC207)</f>
        <v>0</v>
      </c>
      <c r="BP208" s="24">
        <f t="shared" ca="1" si="165"/>
        <v>0</v>
      </c>
      <c r="BR208" s="24">
        <f ca="1">SUM(AH$7:AH208)</f>
        <v>0</v>
      </c>
      <c r="BS208" s="46">
        <f ca="1">SUM(AI$7:AI207)</f>
        <v>0</v>
      </c>
      <c r="BT208" s="24">
        <f t="shared" ca="1" si="166"/>
        <v>0</v>
      </c>
    </row>
    <row r="209" spans="1:72" s="12" customFormat="1">
      <c r="A209" s="202">
        <f>Kontenplan!C211</f>
        <v>0</v>
      </c>
      <c r="B209" s="224">
        <f>Kontenplan!E211</f>
        <v>0</v>
      </c>
      <c r="C209" s="225">
        <f>Kontenplan!F211</f>
        <v>0</v>
      </c>
      <c r="D209" s="43">
        <f>IF(B209=0,0,SUMIF(Journal!$F$7:$F$83,Calc!B209,Journal!$I$7:$I$83))</f>
        <v>0</v>
      </c>
      <c r="E209" s="15">
        <f>IF(B209=0,0,SUMIF(Journal!$G$7:$M283,Calc!B209,Journal!$I$7:$I$83))</f>
        <v>0</v>
      </c>
      <c r="F209" s="44">
        <f t="shared" si="130"/>
        <v>0</v>
      </c>
      <c r="G209" s="15">
        <f t="shared" si="131"/>
        <v>0</v>
      </c>
      <c r="H209" s="14" t="str">
        <f t="shared" si="132"/>
        <v xml:space="preserve"> </v>
      </c>
      <c r="I209" s="43" t="str">
        <f t="shared" si="133"/>
        <v xml:space="preserve"> </v>
      </c>
      <c r="J209" s="45" t="str">
        <f t="shared" si="134"/>
        <v xml:space="preserve"> </v>
      </c>
      <c r="K209" s="48" t="str">
        <f t="shared" si="135"/>
        <v xml:space="preserve"> </v>
      </c>
      <c r="L209" s="45" t="str">
        <f t="shared" si="136"/>
        <v xml:space="preserve"> </v>
      </c>
      <c r="M209" s="48" t="str">
        <f t="shared" si="137"/>
        <v xml:space="preserve"> </v>
      </c>
      <c r="N209" s="24"/>
      <c r="O209" s="12">
        <f t="shared" si="138"/>
        <v>10.03859999999991</v>
      </c>
      <c r="P209" s="12">
        <f t="shared" si="139"/>
        <v>9.0367999999999142</v>
      </c>
      <c r="Q209" s="12">
        <f t="shared" si="140"/>
        <v>31.030599999999929</v>
      </c>
      <c r="R209" s="12">
        <f t="shared" si="141"/>
        <v>29.024799999999942</v>
      </c>
      <c r="S209" s="12">
        <f t="shared" si="142"/>
        <v>0</v>
      </c>
      <c r="T209" s="12">
        <f t="shared" si="143"/>
        <v>0</v>
      </c>
      <c r="U209" s="43">
        <f>IF(OR(A209=Kontenplan!$C$3,A209=Kontenplan!$C$5),F209-G209,G209-F209)</f>
        <v>0</v>
      </c>
      <c r="V209" s="171">
        <f t="shared" si="126"/>
        <v>203</v>
      </c>
      <c r="W209" s="12">
        <f t="shared" si="127"/>
        <v>176</v>
      </c>
      <c r="X209" s="12">
        <f t="shared" si="128"/>
        <v>178</v>
      </c>
      <c r="Y209" s="12">
        <f>IF(Z209=0,VLOOKUP(W209,Kontenplan!$Y$9:$AA$551,3),"")</f>
        <v>0</v>
      </c>
      <c r="Z209" s="12">
        <f t="shared" si="144"/>
        <v>0</v>
      </c>
      <c r="AA209" s="12" t="str">
        <f t="shared" ca="1" si="145"/>
        <v/>
      </c>
      <c r="AB209" s="46" t="str">
        <f t="shared" ca="1" si="146"/>
        <v/>
      </c>
      <c r="AC209" s="46" t="str">
        <f t="shared" ca="1" si="147"/>
        <v/>
      </c>
      <c r="AD209" s="47"/>
      <c r="AE209" s="12">
        <f>IF(AF209=0,VLOOKUP(X209,Kontenplan!$Z$9:$AB$551,3),"")</f>
        <v>0</v>
      </c>
      <c r="AF209" s="47">
        <f t="shared" si="148"/>
        <v>0</v>
      </c>
      <c r="AG209" s="12" t="str">
        <f t="shared" ca="1" si="149"/>
        <v/>
      </c>
      <c r="AH209" s="46" t="str">
        <f t="shared" ca="1" si="150"/>
        <v/>
      </c>
      <c r="AI209" s="46" t="str">
        <f t="shared" ca="1" si="151"/>
        <v/>
      </c>
      <c r="AJ209" s="46"/>
      <c r="AK209" s="147">
        <f t="shared" ca="1" si="152"/>
        <v>2.0193000000000407</v>
      </c>
      <c r="AL209" s="147">
        <f t="shared" si="153"/>
        <v>2.0196000000000414</v>
      </c>
      <c r="AM209" s="12" t="str">
        <f>IF(V209&lt;=AO$3,VLOOKUP(V209,Kontenplan!$A$9:$D$278,4),"")</f>
        <v/>
      </c>
      <c r="AN209" s="12">
        <f t="shared" si="154"/>
        <v>0</v>
      </c>
      <c r="AO209" s="12" t="str">
        <f t="shared" ca="1" si="155"/>
        <v/>
      </c>
      <c r="AP209" s="46" t="str">
        <f t="shared" ca="1" si="156"/>
        <v/>
      </c>
      <c r="AQ209" s="46" t="str">
        <f t="shared" ca="1" si="157"/>
        <v/>
      </c>
      <c r="AR209" s="46"/>
      <c r="AS209" s="147">
        <f t="shared" ca="1" si="158"/>
        <v>3.0192000000000405</v>
      </c>
      <c r="AT209" s="147">
        <f t="shared" si="159"/>
        <v>2.0197000000000416</v>
      </c>
      <c r="AU209" s="47" t="str">
        <f>IF(V209&lt;=AW$3,VLOOKUP(AO$3+V209,Kontenplan!$A$9:$D$278,4),"")</f>
        <v/>
      </c>
      <c r="AV209" s="12">
        <f t="shared" si="160"/>
        <v>0</v>
      </c>
      <c r="AW209" s="12" t="str">
        <f t="shared" ca="1" si="161"/>
        <v/>
      </c>
      <c r="AX209" s="46" t="str">
        <f t="shared" ca="1" si="129"/>
        <v/>
      </c>
      <c r="AY209" s="46" t="str">
        <f t="shared" ca="1" si="162"/>
        <v/>
      </c>
      <c r="BA209" s="12">
        <f>Kontenplan!R211</f>
        <v>3</v>
      </c>
      <c r="BB209" s="12">
        <f>Kontenplan!S211</f>
        <v>2</v>
      </c>
      <c r="BC209" s="12">
        <f>Kontenplan!T211</f>
        <v>4</v>
      </c>
      <c r="BD209" s="170">
        <f>Kontenplan!U211</f>
        <v>4</v>
      </c>
      <c r="BF209" s="24">
        <f ca="1">SUM(AP$7:AP209)</f>
        <v>0</v>
      </c>
      <c r="BG209" s="46">
        <f ca="1">SUM(AQ$7:AQ208)</f>
        <v>0</v>
      </c>
      <c r="BH209" s="24">
        <f t="shared" ca="1" si="163"/>
        <v>0</v>
      </c>
      <c r="BI209" s="24"/>
      <c r="BJ209" s="24">
        <f ca="1">SUM(AX$7:AX209)</f>
        <v>0</v>
      </c>
      <c r="BK209" s="24">
        <f ca="1">SUM(AY$7:AY208)</f>
        <v>0</v>
      </c>
      <c r="BL209" s="24">
        <f t="shared" ca="1" si="164"/>
        <v>0</v>
      </c>
      <c r="BN209" s="24">
        <f ca="1">SUM(AB$7:AB209)</f>
        <v>0</v>
      </c>
      <c r="BO209" s="46">
        <f ca="1">SUM(AC$7:AC208)</f>
        <v>0</v>
      </c>
      <c r="BP209" s="24">
        <f t="shared" ca="1" si="165"/>
        <v>0</v>
      </c>
      <c r="BR209" s="24">
        <f ca="1">SUM(AH$7:AH209)</f>
        <v>0</v>
      </c>
      <c r="BS209" s="46">
        <f ca="1">SUM(AI$7:AI208)</f>
        <v>0</v>
      </c>
      <c r="BT209" s="24">
        <f t="shared" ca="1" si="166"/>
        <v>0</v>
      </c>
    </row>
    <row r="210" spans="1:72" s="12" customFormat="1">
      <c r="A210" s="202">
        <f>Kontenplan!C212</f>
        <v>0</v>
      </c>
      <c r="B210" s="224">
        <f>Kontenplan!E212</f>
        <v>0</v>
      </c>
      <c r="C210" s="225">
        <f>Kontenplan!F212</f>
        <v>0</v>
      </c>
      <c r="D210" s="43">
        <f>IF(B210=0,0,SUMIF(Journal!$F$7:$F$83,Calc!B210,Journal!$I$7:$I$83))</f>
        <v>0</v>
      </c>
      <c r="E210" s="15">
        <f>IF(B210=0,0,SUMIF(Journal!$G$7:$M284,Calc!B210,Journal!$I$7:$I$83))</f>
        <v>0</v>
      </c>
      <c r="F210" s="44">
        <f t="shared" si="130"/>
        <v>0</v>
      </c>
      <c r="G210" s="15">
        <f t="shared" si="131"/>
        <v>0</v>
      </c>
      <c r="H210" s="14" t="str">
        <f t="shared" si="132"/>
        <v xml:space="preserve"> </v>
      </c>
      <c r="I210" s="43" t="str">
        <f t="shared" si="133"/>
        <v xml:space="preserve"> </v>
      </c>
      <c r="J210" s="45" t="str">
        <f t="shared" si="134"/>
        <v xml:space="preserve"> </v>
      </c>
      <c r="K210" s="48" t="str">
        <f t="shared" si="135"/>
        <v xml:space="preserve"> </v>
      </c>
      <c r="L210" s="45" t="str">
        <f t="shared" si="136"/>
        <v xml:space="preserve"> </v>
      </c>
      <c r="M210" s="48" t="str">
        <f t="shared" si="137"/>
        <v xml:space="preserve"> </v>
      </c>
      <c r="N210" s="24"/>
      <c r="O210" s="12">
        <f t="shared" si="138"/>
        <v>10.03879999999991</v>
      </c>
      <c r="P210" s="12">
        <f t="shared" si="139"/>
        <v>9.0369999999999138</v>
      </c>
      <c r="Q210" s="12">
        <f t="shared" si="140"/>
        <v>31.030799999999928</v>
      </c>
      <c r="R210" s="12">
        <f t="shared" si="141"/>
        <v>29.024999999999942</v>
      </c>
      <c r="S210" s="12">
        <f t="shared" si="142"/>
        <v>0</v>
      </c>
      <c r="T210" s="12">
        <f t="shared" si="143"/>
        <v>0</v>
      </c>
      <c r="U210" s="43">
        <f>IF(OR(A210=Kontenplan!$C$3,A210=Kontenplan!$C$5),F210-G210,G210-F210)</f>
        <v>0</v>
      </c>
      <c r="V210" s="171">
        <f t="shared" si="126"/>
        <v>204</v>
      </c>
      <c r="W210" s="12">
        <f t="shared" si="127"/>
        <v>177</v>
      </c>
      <c r="X210" s="12">
        <f t="shared" si="128"/>
        <v>179</v>
      </c>
      <c r="Y210" s="12">
        <f>IF(Z210=0,VLOOKUP(W210,Kontenplan!$Y$9:$AA$551,3),"")</f>
        <v>0</v>
      </c>
      <c r="Z210" s="12">
        <f t="shared" si="144"/>
        <v>0</v>
      </c>
      <c r="AA210" s="12" t="str">
        <f t="shared" ca="1" si="145"/>
        <v/>
      </c>
      <c r="AB210" s="46" t="str">
        <f t="shared" ca="1" si="146"/>
        <v/>
      </c>
      <c r="AC210" s="46" t="str">
        <f t="shared" ca="1" si="147"/>
        <v/>
      </c>
      <c r="AD210" s="47"/>
      <c r="AE210" s="12">
        <f>IF(AF210=0,VLOOKUP(X210,Kontenplan!$Z$9:$AB$551,3),"")</f>
        <v>0</v>
      </c>
      <c r="AF210" s="47">
        <f t="shared" si="148"/>
        <v>0</v>
      </c>
      <c r="AG210" s="12" t="str">
        <f t="shared" ca="1" si="149"/>
        <v/>
      </c>
      <c r="AH210" s="46" t="str">
        <f t="shared" ca="1" si="150"/>
        <v/>
      </c>
      <c r="AI210" s="46" t="str">
        <f t="shared" ca="1" si="151"/>
        <v/>
      </c>
      <c r="AJ210" s="46"/>
      <c r="AK210" s="147">
        <f t="shared" ca="1" si="152"/>
        <v>2.0194000000000409</v>
      </c>
      <c r="AL210" s="147">
        <f t="shared" si="153"/>
        <v>2.0197000000000416</v>
      </c>
      <c r="AM210" s="12" t="str">
        <f>IF(V210&lt;=AO$3,VLOOKUP(V210,Kontenplan!$A$9:$D$278,4),"")</f>
        <v/>
      </c>
      <c r="AN210" s="12">
        <f t="shared" si="154"/>
        <v>0</v>
      </c>
      <c r="AO210" s="12" t="str">
        <f t="shared" ca="1" si="155"/>
        <v/>
      </c>
      <c r="AP210" s="46" t="str">
        <f t="shared" ca="1" si="156"/>
        <v/>
      </c>
      <c r="AQ210" s="46" t="str">
        <f t="shared" ca="1" si="157"/>
        <v/>
      </c>
      <c r="AR210" s="46"/>
      <c r="AS210" s="147">
        <f t="shared" ca="1" si="158"/>
        <v>3.0193000000000407</v>
      </c>
      <c r="AT210" s="147">
        <f t="shared" si="159"/>
        <v>2.0198000000000418</v>
      </c>
      <c r="AU210" s="47" t="str">
        <f>IF(V210&lt;=AW$3,VLOOKUP(AO$3+V210,Kontenplan!$A$9:$D$278,4),"")</f>
        <v/>
      </c>
      <c r="AV210" s="12">
        <f t="shared" si="160"/>
        <v>0</v>
      </c>
      <c r="AW210" s="12" t="str">
        <f t="shared" ca="1" si="161"/>
        <v/>
      </c>
      <c r="AX210" s="46" t="str">
        <f t="shared" ca="1" si="129"/>
        <v/>
      </c>
      <c r="AY210" s="46" t="str">
        <f t="shared" ca="1" si="162"/>
        <v/>
      </c>
      <c r="BA210" s="12">
        <f>Kontenplan!R212</f>
        <v>3</v>
      </c>
      <c r="BB210" s="12">
        <f>Kontenplan!S212</f>
        <v>2</v>
      </c>
      <c r="BC210" s="12">
        <f>Kontenplan!T212</f>
        <v>4</v>
      </c>
      <c r="BD210" s="170">
        <f>Kontenplan!U212</f>
        <v>4</v>
      </c>
      <c r="BF210" s="24">
        <f ca="1">SUM(AP$7:AP210)</f>
        <v>0</v>
      </c>
      <c r="BG210" s="46">
        <f ca="1">SUM(AQ$7:AQ209)</f>
        <v>0</v>
      </c>
      <c r="BH210" s="24">
        <f t="shared" ca="1" si="163"/>
        <v>0</v>
      </c>
      <c r="BI210" s="24"/>
      <c r="BJ210" s="24">
        <f ca="1">SUM(AX$7:AX210)</f>
        <v>0</v>
      </c>
      <c r="BK210" s="24">
        <f ca="1">SUM(AY$7:AY209)</f>
        <v>0</v>
      </c>
      <c r="BL210" s="24">
        <f t="shared" ca="1" si="164"/>
        <v>0</v>
      </c>
      <c r="BN210" s="24">
        <f ca="1">SUM(AB$7:AB210)</f>
        <v>0</v>
      </c>
      <c r="BO210" s="46">
        <f ca="1">SUM(AC$7:AC209)</f>
        <v>0</v>
      </c>
      <c r="BP210" s="24">
        <f t="shared" ca="1" si="165"/>
        <v>0</v>
      </c>
      <c r="BR210" s="24">
        <f ca="1">SUM(AH$7:AH210)</f>
        <v>0</v>
      </c>
      <c r="BS210" s="46">
        <f ca="1">SUM(AI$7:AI209)</f>
        <v>0</v>
      </c>
      <c r="BT210" s="24">
        <f t="shared" ca="1" si="166"/>
        <v>0</v>
      </c>
    </row>
    <row r="211" spans="1:72" s="12" customFormat="1">
      <c r="A211" s="202">
        <f>Kontenplan!C213</f>
        <v>0</v>
      </c>
      <c r="B211" s="224">
        <f>Kontenplan!E213</f>
        <v>0</v>
      </c>
      <c r="C211" s="225">
        <f>Kontenplan!F213</f>
        <v>0</v>
      </c>
      <c r="D211" s="43">
        <f>IF(B211=0,0,SUMIF(Journal!$F$7:$F$83,Calc!B211,Journal!$I$7:$I$83))</f>
        <v>0</v>
      </c>
      <c r="E211" s="15">
        <f>IF(B211=0,0,SUMIF(Journal!$G$7:$M285,Calc!B211,Journal!$I$7:$I$83))</f>
        <v>0</v>
      </c>
      <c r="F211" s="44">
        <f t="shared" si="130"/>
        <v>0</v>
      </c>
      <c r="G211" s="15">
        <f t="shared" si="131"/>
        <v>0</v>
      </c>
      <c r="H211" s="14" t="str">
        <f t="shared" si="132"/>
        <v xml:space="preserve"> </v>
      </c>
      <c r="I211" s="43" t="str">
        <f t="shared" si="133"/>
        <v xml:space="preserve"> </v>
      </c>
      <c r="J211" s="45" t="str">
        <f t="shared" si="134"/>
        <v xml:space="preserve"> </v>
      </c>
      <c r="K211" s="48" t="str">
        <f t="shared" si="135"/>
        <v xml:space="preserve"> </v>
      </c>
      <c r="L211" s="45" t="str">
        <f t="shared" si="136"/>
        <v xml:space="preserve"> </v>
      </c>
      <c r="M211" s="48" t="str">
        <f t="shared" si="137"/>
        <v xml:space="preserve"> </v>
      </c>
      <c r="N211" s="24"/>
      <c r="O211" s="12">
        <f t="shared" si="138"/>
        <v>10.038999999999909</v>
      </c>
      <c r="P211" s="12">
        <f t="shared" si="139"/>
        <v>9.0371999999999133</v>
      </c>
      <c r="Q211" s="12">
        <f t="shared" si="140"/>
        <v>31.030999999999928</v>
      </c>
      <c r="R211" s="12">
        <f t="shared" si="141"/>
        <v>29.025199999999941</v>
      </c>
      <c r="S211" s="12">
        <f t="shared" si="142"/>
        <v>0</v>
      </c>
      <c r="T211" s="12">
        <f t="shared" si="143"/>
        <v>0</v>
      </c>
      <c r="U211" s="43">
        <f>IF(OR(A211=Kontenplan!$C$3,A211=Kontenplan!$C$5),F211-G211,G211-F211)</f>
        <v>0</v>
      </c>
      <c r="V211" s="171">
        <f t="shared" si="126"/>
        <v>205</v>
      </c>
      <c r="W211" s="12">
        <f t="shared" si="127"/>
        <v>178</v>
      </c>
      <c r="X211" s="12">
        <f t="shared" si="128"/>
        <v>180</v>
      </c>
      <c r="Y211" s="12">
        <f>IF(Z211=0,VLOOKUP(W211,Kontenplan!$Y$9:$AA$551,3),"")</f>
        <v>0</v>
      </c>
      <c r="Z211" s="12">
        <f t="shared" si="144"/>
        <v>0</v>
      </c>
      <c r="AA211" s="12" t="str">
        <f t="shared" ca="1" si="145"/>
        <v/>
      </c>
      <c r="AB211" s="46" t="str">
        <f t="shared" ca="1" si="146"/>
        <v/>
      </c>
      <c r="AC211" s="46" t="str">
        <f t="shared" ca="1" si="147"/>
        <v/>
      </c>
      <c r="AD211" s="47"/>
      <c r="AE211" s="12">
        <f>IF(AF211=0,VLOOKUP(X211,Kontenplan!$Z$9:$AB$551,3),"")</f>
        <v>0</v>
      </c>
      <c r="AF211" s="47">
        <f t="shared" si="148"/>
        <v>0</v>
      </c>
      <c r="AG211" s="12" t="str">
        <f t="shared" ca="1" si="149"/>
        <v/>
      </c>
      <c r="AH211" s="46" t="str">
        <f t="shared" ca="1" si="150"/>
        <v/>
      </c>
      <c r="AI211" s="46" t="str">
        <f t="shared" ca="1" si="151"/>
        <v/>
      </c>
      <c r="AJ211" s="46"/>
      <c r="AK211" s="147">
        <f t="shared" ca="1" si="152"/>
        <v>2.0195000000000412</v>
      </c>
      <c r="AL211" s="147">
        <f t="shared" si="153"/>
        <v>2.0198000000000418</v>
      </c>
      <c r="AM211" s="12" t="str">
        <f>IF(V211&lt;=AO$3,VLOOKUP(V211,Kontenplan!$A$9:$D$278,4),"")</f>
        <v/>
      </c>
      <c r="AN211" s="12">
        <f t="shared" si="154"/>
        <v>0</v>
      </c>
      <c r="AO211" s="12" t="str">
        <f t="shared" ca="1" si="155"/>
        <v/>
      </c>
      <c r="AP211" s="46" t="str">
        <f t="shared" ca="1" si="156"/>
        <v/>
      </c>
      <c r="AQ211" s="46" t="str">
        <f t="shared" ca="1" si="157"/>
        <v/>
      </c>
      <c r="AR211" s="46"/>
      <c r="AS211" s="147">
        <f t="shared" ca="1" si="158"/>
        <v>3.0194000000000409</v>
      </c>
      <c r="AT211" s="147">
        <f t="shared" si="159"/>
        <v>2.019900000000042</v>
      </c>
      <c r="AU211" s="47" t="str">
        <f>IF(V211&lt;=AW$3,VLOOKUP(AO$3+V211,Kontenplan!$A$9:$D$278,4),"")</f>
        <v/>
      </c>
      <c r="AV211" s="12">
        <f t="shared" si="160"/>
        <v>0</v>
      </c>
      <c r="AW211" s="12" t="str">
        <f t="shared" ca="1" si="161"/>
        <v/>
      </c>
      <c r="AX211" s="46" t="str">
        <f t="shared" ca="1" si="129"/>
        <v/>
      </c>
      <c r="AY211" s="46" t="str">
        <f t="shared" ca="1" si="162"/>
        <v/>
      </c>
      <c r="BA211" s="12">
        <f>Kontenplan!R213</f>
        <v>3</v>
      </c>
      <c r="BB211" s="12">
        <f>Kontenplan!S213</f>
        <v>2</v>
      </c>
      <c r="BC211" s="12">
        <f>Kontenplan!T213</f>
        <v>4</v>
      </c>
      <c r="BD211" s="170">
        <f>Kontenplan!U213</f>
        <v>4</v>
      </c>
      <c r="BF211" s="24">
        <f ca="1">SUM(AP$7:AP211)</f>
        <v>0</v>
      </c>
      <c r="BG211" s="46">
        <f ca="1">SUM(AQ$7:AQ210)</f>
        <v>0</v>
      </c>
      <c r="BH211" s="24">
        <f t="shared" ca="1" si="163"/>
        <v>0</v>
      </c>
      <c r="BI211" s="24"/>
      <c r="BJ211" s="24">
        <f ca="1">SUM(AX$7:AX211)</f>
        <v>0</v>
      </c>
      <c r="BK211" s="24">
        <f ca="1">SUM(AY$7:AY210)</f>
        <v>0</v>
      </c>
      <c r="BL211" s="24">
        <f t="shared" ca="1" si="164"/>
        <v>0</v>
      </c>
      <c r="BN211" s="24">
        <f ca="1">SUM(AB$7:AB211)</f>
        <v>0</v>
      </c>
      <c r="BO211" s="46">
        <f ca="1">SUM(AC$7:AC210)</f>
        <v>0</v>
      </c>
      <c r="BP211" s="24">
        <f t="shared" ca="1" si="165"/>
        <v>0</v>
      </c>
      <c r="BR211" s="24">
        <f ca="1">SUM(AH$7:AH211)</f>
        <v>0</v>
      </c>
      <c r="BS211" s="46">
        <f ca="1">SUM(AI$7:AI210)</f>
        <v>0</v>
      </c>
      <c r="BT211" s="24">
        <f t="shared" ca="1" si="166"/>
        <v>0</v>
      </c>
    </row>
    <row r="212" spans="1:72" s="12" customFormat="1">
      <c r="A212" s="202">
        <f>Kontenplan!C214</f>
        <v>0</v>
      </c>
      <c r="B212" s="224">
        <f>Kontenplan!E214</f>
        <v>0</v>
      </c>
      <c r="C212" s="225">
        <f>Kontenplan!F214</f>
        <v>0</v>
      </c>
      <c r="D212" s="43">
        <f>IF(B212=0,0,SUMIF(Journal!$F$7:$F$83,Calc!B212,Journal!$I$7:$I$83))</f>
        <v>0</v>
      </c>
      <c r="E212" s="15">
        <f>IF(B212=0,0,SUMIF(Journal!$G$7:$M286,Calc!B212,Journal!$I$7:$I$83))</f>
        <v>0</v>
      </c>
      <c r="F212" s="44">
        <f t="shared" si="130"/>
        <v>0</v>
      </c>
      <c r="G212" s="15">
        <f t="shared" si="131"/>
        <v>0</v>
      </c>
      <c r="H212" s="14" t="str">
        <f t="shared" si="132"/>
        <v xml:space="preserve"> </v>
      </c>
      <c r="I212" s="43" t="str">
        <f t="shared" si="133"/>
        <v xml:space="preserve"> </v>
      </c>
      <c r="J212" s="45" t="str">
        <f t="shared" si="134"/>
        <v xml:space="preserve"> </v>
      </c>
      <c r="K212" s="48" t="str">
        <f t="shared" si="135"/>
        <v xml:space="preserve"> </v>
      </c>
      <c r="L212" s="45" t="str">
        <f t="shared" si="136"/>
        <v xml:space="preserve"> </v>
      </c>
      <c r="M212" s="48" t="str">
        <f t="shared" si="137"/>
        <v xml:space="preserve"> </v>
      </c>
      <c r="N212" s="24"/>
      <c r="O212" s="12">
        <f t="shared" si="138"/>
        <v>10.039199999999909</v>
      </c>
      <c r="P212" s="12">
        <f t="shared" si="139"/>
        <v>9.0373999999999128</v>
      </c>
      <c r="Q212" s="12">
        <f t="shared" si="140"/>
        <v>31.031199999999927</v>
      </c>
      <c r="R212" s="12">
        <f t="shared" si="141"/>
        <v>29.025399999999941</v>
      </c>
      <c r="S212" s="12">
        <f t="shared" si="142"/>
        <v>0</v>
      </c>
      <c r="T212" s="12">
        <f t="shared" si="143"/>
        <v>0</v>
      </c>
      <c r="U212" s="43">
        <f>IF(OR(A212=Kontenplan!$C$3,A212=Kontenplan!$C$5),F212-G212,G212-F212)</f>
        <v>0</v>
      </c>
      <c r="V212" s="171">
        <f t="shared" si="126"/>
        <v>206</v>
      </c>
      <c r="W212" s="12">
        <f t="shared" si="127"/>
        <v>179</v>
      </c>
      <c r="X212" s="12">
        <f t="shared" si="128"/>
        <v>181</v>
      </c>
      <c r="Y212" s="12">
        <f>IF(Z212=0,VLOOKUP(W212,Kontenplan!$Y$9:$AA$551,3),"")</f>
        <v>0</v>
      </c>
      <c r="Z212" s="12">
        <f t="shared" si="144"/>
        <v>0</v>
      </c>
      <c r="AA212" s="12" t="str">
        <f t="shared" ca="1" si="145"/>
        <v/>
      </c>
      <c r="AB212" s="46" t="str">
        <f t="shared" ca="1" si="146"/>
        <v/>
      </c>
      <c r="AC212" s="46" t="str">
        <f t="shared" ca="1" si="147"/>
        <v/>
      </c>
      <c r="AD212" s="47"/>
      <c r="AE212" s="12">
        <f>IF(AF212=0,VLOOKUP(X212,Kontenplan!$Z$9:$AB$551,3),"")</f>
        <v>0</v>
      </c>
      <c r="AF212" s="47">
        <f t="shared" si="148"/>
        <v>0</v>
      </c>
      <c r="AG212" s="12" t="str">
        <f t="shared" ca="1" si="149"/>
        <v/>
      </c>
      <c r="AH212" s="46" t="str">
        <f t="shared" ca="1" si="150"/>
        <v/>
      </c>
      <c r="AI212" s="46" t="str">
        <f t="shared" ca="1" si="151"/>
        <v/>
      </c>
      <c r="AJ212" s="46"/>
      <c r="AK212" s="147">
        <f t="shared" ca="1" si="152"/>
        <v>2.0196000000000414</v>
      </c>
      <c r="AL212" s="147">
        <f t="shared" si="153"/>
        <v>2.019900000000042</v>
      </c>
      <c r="AM212" s="12" t="str">
        <f>IF(V212&lt;=AO$3,VLOOKUP(V212,Kontenplan!$A$9:$D$278,4),"")</f>
        <v/>
      </c>
      <c r="AN212" s="12">
        <f t="shared" si="154"/>
        <v>0</v>
      </c>
      <c r="AO212" s="12" t="str">
        <f t="shared" ca="1" si="155"/>
        <v/>
      </c>
      <c r="AP212" s="46" t="str">
        <f t="shared" ca="1" si="156"/>
        <v/>
      </c>
      <c r="AQ212" s="46" t="str">
        <f t="shared" ca="1" si="157"/>
        <v/>
      </c>
      <c r="AR212" s="46"/>
      <c r="AS212" s="147">
        <f t="shared" ca="1" si="158"/>
        <v>3.0195000000000412</v>
      </c>
      <c r="AT212" s="147">
        <f t="shared" si="159"/>
        <v>2.0200000000000422</v>
      </c>
      <c r="AU212" s="47" t="str">
        <f>IF(V212&lt;=AW$3,VLOOKUP(AO$3+V212,Kontenplan!$A$9:$D$278,4),"")</f>
        <v/>
      </c>
      <c r="AV212" s="12">
        <f t="shared" si="160"/>
        <v>0</v>
      </c>
      <c r="AW212" s="12" t="str">
        <f t="shared" ca="1" si="161"/>
        <v/>
      </c>
      <c r="AX212" s="46" t="str">
        <f t="shared" ca="1" si="129"/>
        <v/>
      </c>
      <c r="AY212" s="46" t="str">
        <f t="shared" ca="1" si="162"/>
        <v/>
      </c>
      <c r="BA212" s="12">
        <f>Kontenplan!R214</f>
        <v>3</v>
      </c>
      <c r="BB212" s="12">
        <f>Kontenplan!S214</f>
        <v>2</v>
      </c>
      <c r="BC212" s="12">
        <f>Kontenplan!T214</f>
        <v>4</v>
      </c>
      <c r="BD212" s="170">
        <f>Kontenplan!U214</f>
        <v>4</v>
      </c>
      <c r="BF212" s="24">
        <f ca="1">SUM(AP$7:AP212)</f>
        <v>0</v>
      </c>
      <c r="BG212" s="46">
        <f ca="1">SUM(AQ$7:AQ211)</f>
        <v>0</v>
      </c>
      <c r="BH212" s="24">
        <f t="shared" ca="1" si="163"/>
        <v>0</v>
      </c>
      <c r="BI212" s="24"/>
      <c r="BJ212" s="24">
        <f ca="1">SUM(AX$7:AX212)</f>
        <v>0</v>
      </c>
      <c r="BK212" s="24">
        <f ca="1">SUM(AY$7:AY211)</f>
        <v>0</v>
      </c>
      <c r="BL212" s="24">
        <f t="shared" ca="1" si="164"/>
        <v>0</v>
      </c>
      <c r="BN212" s="24">
        <f ca="1">SUM(AB$7:AB212)</f>
        <v>0</v>
      </c>
      <c r="BO212" s="46">
        <f ca="1">SUM(AC$7:AC211)</f>
        <v>0</v>
      </c>
      <c r="BP212" s="24">
        <f t="shared" ca="1" si="165"/>
        <v>0</v>
      </c>
      <c r="BR212" s="24">
        <f ca="1">SUM(AH$7:AH212)</f>
        <v>0</v>
      </c>
      <c r="BS212" s="46">
        <f ca="1">SUM(AI$7:AI211)</f>
        <v>0</v>
      </c>
      <c r="BT212" s="24">
        <f t="shared" ca="1" si="166"/>
        <v>0</v>
      </c>
    </row>
    <row r="213" spans="1:72" s="12" customFormat="1">
      <c r="A213" s="202">
        <f>Kontenplan!C215</f>
        <v>0</v>
      </c>
      <c r="B213" s="224">
        <f>Kontenplan!E215</f>
        <v>0</v>
      </c>
      <c r="C213" s="225">
        <f>Kontenplan!F215</f>
        <v>0</v>
      </c>
      <c r="D213" s="43">
        <f>IF(B213=0,0,SUMIF(Journal!$F$7:$F$83,Calc!B213,Journal!$I$7:$I$83))</f>
        <v>0</v>
      </c>
      <c r="E213" s="15">
        <f>IF(B213=0,0,SUMIF(Journal!$G$7:$M287,Calc!B213,Journal!$I$7:$I$83))</f>
        <v>0</v>
      </c>
      <c r="F213" s="44">
        <f t="shared" si="130"/>
        <v>0</v>
      </c>
      <c r="G213" s="15">
        <f t="shared" si="131"/>
        <v>0</v>
      </c>
      <c r="H213" s="14" t="str">
        <f t="shared" si="132"/>
        <v xml:space="preserve"> </v>
      </c>
      <c r="I213" s="43" t="str">
        <f t="shared" si="133"/>
        <v xml:space="preserve"> </v>
      </c>
      <c r="J213" s="45" t="str">
        <f t="shared" si="134"/>
        <v xml:space="preserve"> </v>
      </c>
      <c r="K213" s="48" t="str">
        <f t="shared" si="135"/>
        <v xml:space="preserve"> </v>
      </c>
      <c r="L213" s="45" t="str">
        <f t="shared" si="136"/>
        <v xml:space="preserve"> </v>
      </c>
      <c r="M213" s="48" t="str">
        <f t="shared" si="137"/>
        <v xml:space="preserve"> </v>
      </c>
      <c r="N213" s="24"/>
      <c r="O213" s="12">
        <f t="shared" si="138"/>
        <v>10.039399999999908</v>
      </c>
      <c r="P213" s="12">
        <f t="shared" si="139"/>
        <v>9.0375999999999124</v>
      </c>
      <c r="Q213" s="12">
        <f t="shared" si="140"/>
        <v>31.031399999999927</v>
      </c>
      <c r="R213" s="12">
        <f t="shared" si="141"/>
        <v>29.02559999999994</v>
      </c>
      <c r="S213" s="12">
        <f t="shared" si="142"/>
        <v>0</v>
      </c>
      <c r="T213" s="12">
        <f t="shared" si="143"/>
        <v>0</v>
      </c>
      <c r="U213" s="43">
        <f>IF(OR(A213=Kontenplan!$C$3,A213=Kontenplan!$C$5),F213-G213,G213-F213)</f>
        <v>0</v>
      </c>
      <c r="V213" s="171">
        <f t="shared" si="126"/>
        <v>207</v>
      </c>
      <c r="W213" s="12">
        <f t="shared" si="127"/>
        <v>180</v>
      </c>
      <c r="X213" s="12">
        <f t="shared" si="128"/>
        <v>182</v>
      </c>
      <c r="Y213" s="12">
        <f>IF(Z213=0,VLOOKUP(W213,Kontenplan!$Y$9:$AA$551,3),"")</f>
        <v>0</v>
      </c>
      <c r="Z213" s="12">
        <f t="shared" si="144"/>
        <v>0</v>
      </c>
      <c r="AA213" s="12" t="str">
        <f t="shared" ca="1" si="145"/>
        <v/>
      </c>
      <c r="AB213" s="46" t="str">
        <f t="shared" ca="1" si="146"/>
        <v/>
      </c>
      <c r="AC213" s="46" t="str">
        <f t="shared" ca="1" si="147"/>
        <v/>
      </c>
      <c r="AD213" s="47"/>
      <c r="AE213" s="12">
        <f>IF(AF213=0,VLOOKUP(X213,Kontenplan!$Z$9:$AB$551,3),"")</f>
        <v>0</v>
      </c>
      <c r="AF213" s="47">
        <f t="shared" si="148"/>
        <v>0</v>
      </c>
      <c r="AG213" s="12" t="str">
        <f t="shared" ca="1" si="149"/>
        <v/>
      </c>
      <c r="AH213" s="46" t="str">
        <f t="shared" ca="1" si="150"/>
        <v/>
      </c>
      <c r="AI213" s="46" t="str">
        <f t="shared" ca="1" si="151"/>
        <v/>
      </c>
      <c r="AJ213" s="46"/>
      <c r="AK213" s="147">
        <f t="shared" ca="1" si="152"/>
        <v>2.0197000000000416</v>
      </c>
      <c r="AL213" s="147">
        <f t="shared" si="153"/>
        <v>2.0200000000000422</v>
      </c>
      <c r="AM213" s="12" t="str">
        <f>IF(V213&lt;=AO$3,VLOOKUP(V213,Kontenplan!$A$9:$D$278,4),"")</f>
        <v/>
      </c>
      <c r="AN213" s="12">
        <f t="shared" si="154"/>
        <v>0</v>
      </c>
      <c r="AO213" s="12" t="str">
        <f t="shared" ca="1" si="155"/>
        <v/>
      </c>
      <c r="AP213" s="46" t="str">
        <f t="shared" ca="1" si="156"/>
        <v/>
      </c>
      <c r="AQ213" s="46" t="str">
        <f t="shared" ca="1" si="157"/>
        <v/>
      </c>
      <c r="AR213" s="46"/>
      <c r="AS213" s="147">
        <f t="shared" ca="1" si="158"/>
        <v>3.0196000000000414</v>
      </c>
      <c r="AT213" s="147">
        <f t="shared" si="159"/>
        <v>2.0201000000000424</v>
      </c>
      <c r="AU213" s="47" t="str">
        <f>IF(V213&lt;=AW$3,VLOOKUP(AO$3+V213,Kontenplan!$A$9:$D$278,4),"")</f>
        <v/>
      </c>
      <c r="AV213" s="12">
        <f t="shared" si="160"/>
        <v>0</v>
      </c>
      <c r="AW213" s="12" t="str">
        <f t="shared" ca="1" si="161"/>
        <v/>
      </c>
      <c r="AX213" s="46" t="str">
        <f t="shared" ca="1" si="129"/>
        <v/>
      </c>
      <c r="AY213" s="46" t="str">
        <f t="shared" ca="1" si="162"/>
        <v/>
      </c>
      <c r="BA213" s="12">
        <f>Kontenplan!R215</f>
        <v>3</v>
      </c>
      <c r="BB213" s="12">
        <f>Kontenplan!S215</f>
        <v>2</v>
      </c>
      <c r="BC213" s="12">
        <f>Kontenplan!T215</f>
        <v>4</v>
      </c>
      <c r="BD213" s="170">
        <f>Kontenplan!U215</f>
        <v>4</v>
      </c>
      <c r="BF213" s="24">
        <f ca="1">SUM(AP$7:AP213)</f>
        <v>0</v>
      </c>
      <c r="BG213" s="46">
        <f ca="1">SUM(AQ$7:AQ212)</f>
        <v>0</v>
      </c>
      <c r="BH213" s="24">
        <f t="shared" ca="1" si="163"/>
        <v>0</v>
      </c>
      <c r="BI213" s="24"/>
      <c r="BJ213" s="24">
        <f ca="1">SUM(AX$7:AX213)</f>
        <v>0</v>
      </c>
      <c r="BK213" s="24">
        <f ca="1">SUM(AY$7:AY212)</f>
        <v>0</v>
      </c>
      <c r="BL213" s="24">
        <f t="shared" ca="1" si="164"/>
        <v>0</v>
      </c>
      <c r="BN213" s="24">
        <f ca="1">SUM(AB$7:AB213)</f>
        <v>0</v>
      </c>
      <c r="BO213" s="46">
        <f ca="1">SUM(AC$7:AC212)</f>
        <v>0</v>
      </c>
      <c r="BP213" s="24">
        <f t="shared" ca="1" si="165"/>
        <v>0</v>
      </c>
      <c r="BR213" s="24">
        <f ca="1">SUM(AH$7:AH213)</f>
        <v>0</v>
      </c>
      <c r="BS213" s="46">
        <f ca="1">SUM(AI$7:AI212)</f>
        <v>0</v>
      </c>
      <c r="BT213" s="24">
        <f t="shared" ca="1" si="166"/>
        <v>0</v>
      </c>
    </row>
    <row r="214" spans="1:72" s="12" customFormat="1">
      <c r="A214" s="202">
        <f>Kontenplan!C216</f>
        <v>0</v>
      </c>
      <c r="B214" s="224">
        <f>Kontenplan!E216</f>
        <v>0</v>
      </c>
      <c r="C214" s="225">
        <f>Kontenplan!F216</f>
        <v>0</v>
      </c>
      <c r="D214" s="43">
        <f>IF(B214=0,0,SUMIF(Journal!$F$7:$F$83,Calc!B214,Journal!$I$7:$I$83))</f>
        <v>0</v>
      </c>
      <c r="E214" s="15">
        <f>IF(B214=0,0,SUMIF(Journal!$G$7:$M288,Calc!B214,Journal!$I$7:$I$83))</f>
        <v>0</v>
      </c>
      <c r="F214" s="44">
        <f t="shared" si="130"/>
        <v>0</v>
      </c>
      <c r="G214" s="15">
        <f t="shared" si="131"/>
        <v>0</v>
      </c>
      <c r="H214" s="14" t="str">
        <f t="shared" si="132"/>
        <v xml:space="preserve"> </v>
      </c>
      <c r="I214" s="43" t="str">
        <f t="shared" si="133"/>
        <v xml:space="preserve"> </v>
      </c>
      <c r="J214" s="45" t="str">
        <f t="shared" si="134"/>
        <v xml:space="preserve"> </v>
      </c>
      <c r="K214" s="48" t="str">
        <f t="shared" si="135"/>
        <v xml:space="preserve"> </v>
      </c>
      <c r="L214" s="45" t="str">
        <f t="shared" si="136"/>
        <v xml:space="preserve"> </v>
      </c>
      <c r="M214" s="48" t="str">
        <f t="shared" si="137"/>
        <v xml:space="preserve"> </v>
      </c>
      <c r="N214" s="24"/>
      <c r="O214" s="12">
        <f t="shared" si="138"/>
        <v>10.039599999999908</v>
      </c>
      <c r="P214" s="12">
        <f t="shared" si="139"/>
        <v>9.0377999999999119</v>
      </c>
      <c r="Q214" s="12">
        <f t="shared" si="140"/>
        <v>31.031599999999926</v>
      </c>
      <c r="R214" s="12">
        <f t="shared" si="141"/>
        <v>29.02579999999994</v>
      </c>
      <c r="S214" s="12">
        <f t="shared" si="142"/>
        <v>0</v>
      </c>
      <c r="T214" s="12">
        <f t="shared" si="143"/>
        <v>0</v>
      </c>
      <c r="U214" s="43">
        <f>IF(OR(A214=Kontenplan!$C$3,A214=Kontenplan!$C$5),F214-G214,G214-F214)</f>
        <v>0</v>
      </c>
      <c r="V214" s="171">
        <f t="shared" si="126"/>
        <v>208</v>
      </c>
      <c r="W214" s="12">
        <f t="shared" si="127"/>
        <v>181</v>
      </c>
      <c r="X214" s="12">
        <f t="shared" si="128"/>
        <v>183</v>
      </c>
      <c r="Y214" s="12">
        <f>IF(Z214=0,VLOOKUP(W214,Kontenplan!$Y$9:$AA$551,3),"")</f>
        <v>0</v>
      </c>
      <c r="Z214" s="12">
        <f t="shared" si="144"/>
        <v>0</v>
      </c>
      <c r="AA214" s="12" t="str">
        <f t="shared" ca="1" si="145"/>
        <v/>
      </c>
      <c r="AB214" s="46" t="str">
        <f t="shared" ca="1" si="146"/>
        <v/>
      </c>
      <c r="AC214" s="46" t="str">
        <f t="shared" ca="1" si="147"/>
        <v/>
      </c>
      <c r="AD214" s="47"/>
      <c r="AE214" s="12">
        <f>IF(AF214=0,VLOOKUP(X214,Kontenplan!$Z$9:$AB$551,3),"")</f>
        <v>0</v>
      </c>
      <c r="AF214" s="47">
        <f t="shared" si="148"/>
        <v>0</v>
      </c>
      <c r="AG214" s="12" t="str">
        <f t="shared" ca="1" si="149"/>
        <v/>
      </c>
      <c r="AH214" s="46" t="str">
        <f t="shared" ca="1" si="150"/>
        <v/>
      </c>
      <c r="AI214" s="46" t="str">
        <f t="shared" ca="1" si="151"/>
        <v/>
      </c>
      <c r="AJ214" s="46"/>
      <c r="AK214" s="147">
        <f t="shared" ca="1" si="152"/>
        <v>2.0198000000000418</v>
      </c>
      <c r="AL214" s="147">
        <f t="shared" si="153"/>
        <v>2.0201000000000424</v>
      </c>
      <c r="AM214" s="12" t="str">
        <f>IF(V214&lt;=AO$3,VLOOKUP(V214,Kontenplan!$A$9:$D$278,4),"")</f>
        <v/>
      </c>
      <c r="AN214" s="12">
        <f t="shared" si="154"/>
        <v>0</v>
      </c>
      <c r="AO214" s="12" t="str">
        <f t="shared" ca="1" si="155"/>
        <v/>
      </c>
      <c r="AP214" s="46" t="str">
        <f t="shared" ca="1" si="156"/>
        <v/>
      </c>
      <c r="AQ214" s="46" t="str">
        <f t="shared" ca="1" si="157"/>
        <v/>
      </c>
      <c r="AR214" s="46"/>
      <c r="AS214" s="147">
        <f t="shared" ca="1" si="158"/>
        <v>3.0197000000000416</v>
      </c>
      <c r="AT214" s="147">
        <f t="shared" si="159"/>
        <v>2.0202000000000426</v>
      </c>
      <c r="AU214" s="47" t="str">
        <f>IF(V214&lt;=AW$3,VLOOKUP(AO$3+V214,Kontenplan!$A$9:$D$278,4),"")</f>
        <v/>
      </c>
      <c r="AV214" s="12">
        <f t="shared" si="160"/>
        <v>0</v>
      </c>
      <c r="AW214" s="12" t="str">
        <f t="shared" ca="1" si="161"/>
        <v/>
      </c>
      <c r="AX214" s="46" t="str">
        <f t="shared" ca="1" si="129"/>
        <v/>
      </c>
      <c r="AY214" s="46" t="str">
        <f t="shared" ca="1" si="162"/>
        <v/>
      </c>
      <c r="BA214" s="12">
        <f>Kontenplan!R216</f>
        <v>3</v>
      </c>
      <c r="BB214" s="12">
        <f>Kontenplan!S216</f>
        <v>2</v>
      </c>
      <c r="BC214" s="12">
        <f>Kontenplan!T216</f>
        <v>4</v>
      </c>
      <c r="BD214" s="170">
        <f>Kontenplan!U216</f>
        <v>4</v>
      </c>
      <c r="BF214" s="24">
        <f ca="1">SUM(AP$7:AP214)</f>
        <v>0</v>
      </c>
      <c r="BG214" s="46">
        <f ca="1">SUM(AQ$7:AQ213)</f>
        <v>0</v>
      </c>
      <c r="BH214" s="24">
        <f t="shared" ca="1" si="163"/>
        <v>0</v>
      </c>
      <c r="BI214" s="24"/>
      <c r="BJ214" s="24">
        <f ca="1">SUM(AX$7:AX214)</f>
        <v>0</v>
      </c>
      <c r="BK214" s="24">
        <f ca="1">SUM(AY$7:AY213)</f>
        <v>0</v>
      </c>
      <c r="BL214" s="24">
        <f t="shared" ca="1" si="164"/>
        <v>0</v>
      </c>
      <c r="BN214" s="24">
        <f ca="1">SUM(AB$7:AB214)</f>
        <v>0</v>
      </c>
      <c r="BO214" s="46">
        <f ca="1">SUM(AC$7:AC213)</f>
        <v>0</v>
      </c>
      <c r="BP214" s="24">
        <f t="shared" ca="1" si="165"/>
        <v>0</v>
      </c>
      <c r="BR214" s="24">
        <f ca="1">SUM(AH$7:AH214)</f>
        <v>0</v>
      </c>
      <c r="BS214" s="46">
        <f ca="1">SUM(AI$7:AI213)</f>
        <v>0</v>
      </c>
      <c r="BT214" s="24">
        <f t="shared" ca="1" si="166"/>
        <v>0</v>
      </c>
    </row>
    <row r="215" spans="1:72" s="12" customFormat="1">
      <c r="A215" s="202">
        <f>Kontenplan!C217</f>
        <v>0</v>
      </c>
      <c r="B215" s="224">
        <f>Kontenplan!E217</f>
        <v>0</v>
      </c>
      <c r="C215" s="225">
        <f>Kontenplan!F217</f>
        <v>0</v>
      </c>
      <c r="D215" s="43">
        <f>IF(B215=0,0,SUMIF(Journal!$F$7:$F$83,Calc!B215,Journal!$I$7:$I$83))</f>
        <v>0</v>
      </c>
      <c r="E215" s="15">
        <f>IF(B215=0,0,SUMIF(Journal!$G$7:$M289,Calc!B215,Journal!$I$7:$I$83))</f>
        <v>0</v>
      </c>
      <c r="F215" s="44">
        <f t="shared" si="130"/>
        <v>0</v>
      </c>
      <c r="G215" s="15">
        <f t="shared" si="131"/>
        <v>0</v>
      </c>
      <c r="H215" s="14" t="str">
        <f t="shared" si="132"/>
        <v xml:space="preserve"> </v>
      </c>
      <c r="I215" s="43" t="str">
        <f t="shared" si="133"/>
        <v xml:space="preserve"> </v>
      </c>
      <c r="J215" s="45" t="str">
        <f t="shared" si="134"/>
        <v xml:space="preserve"> </v>
      </c>
      <c r="K215" s="48" t="str">
        <f t="shared" si="135"/>
        <v xml:space="preserve"> </v>
      </c>
      <c r="L215" s="45" t="str">
        <f t="shared" si="136"/>
        <v xml:space="preserve"> </v>
      </c>
      <c r="M215" s="48" t="str">
        <f t="shared" si="137"/>
        <v xml:space="preserve"> </v>
      </c>
      <c r="N215" s="24"/>
      <c r="O215" s="12">
        <f t="shared" si="138"/>
        <v>10.039799999999907</v>
      </c>
      <c r="P215" s="12">
        <f t="shared" si="139"/>
        <v>9.0379999999999114</v>
      </c>
      <c r="Q215" s="12">
        <f t="shared" si="140"/>
        <v>31.031799999999926</v>
      </c>
      <c r="R215" s="12">
        <f t="shared" si="141"/>
        <v>29.025999999999939</v>
      </c>
      <c r="S215" s="12">
        <f t="shared" si="142"/>
        <v>0</v>
      </c>
      <c r="T215" s="12">
        <f t="shared" si="143"/>
        <v>0</v>
      </c>
      <c r="U215" s="43">
        <f>IF(OR(A215=Kontenplan!$C$3,A215=Kontenplan!$C$5),F215-G215,G215-F215)</f>
        <v>0</v>
      </c>
      <c r="V215" s="171">
        <f t="shared" si="126"/>
        <v>209</v>
      </c>
      <c r="W215" s="12">
        <f t="shared" si="127"/>
        <v>182</v>
      </c>
      <c r="X215" s="12">
        <f t="shared" si="128"/>
        <v>184</v>
      </c>
      <c r="Y215" s="12">
        <f>IF(Z215=0,VLOOKUP(W215,Kontenplan!$Y$9:$AA$551,3),"")</f>
        <v>0</v>
      </c>
      <c r="Z215" s="12">
        <f t="shared" si="144"/>
        <v>0</v>
      </c>
      <c r="AA215" s="12" t="str">
        <f t="shared" ca="1" si="145"/>
        <v/>
      </c>
      <c r="AB215" s="46" t="str">
        <f t="shared" ca="1" si="146"/>
        <v/>
      </c>
      <c r="AC215" s="46" t="str">
        <f t="shared" ca="1" si="147"/>
        <v/>
      </c>
      <c r="AD215" s="47"/>
      <c r="AE215" s="12">
        <f>IF(AF215=0,VLOOKUP(X215,Kontenplan!$Z$9:$AB$551,3),"")</f>
        <v>0</v>
      </c>
      <c r="AF215" s="47">
        <f t="shared" si="148"/>
        <v>0</v>
      </c>
      <c r="AG215" s="12" t="str">
        <f t="shared" ca="1" si="149"/>
        <v/>
      </c>
      <c r="AH215" s="46" t="str">
        <f t="shared" ca="1" si="150"/>
        <v/>
      </c>
      <c r="AI215" s="46" t="str">
        <f t="shared" ca="1" si="151"/>
        <v/>
      </c>
      <c r="AJ215" s="46"/>
      <c r="AK215" s="147">
        <f t="shared" ca="1" si="152"/>
        <v>2.019900000000042</v>
      </c>
      <c r="AL215" s="147">
        <f t="shared" si="153"/>
        <v>2.0202000000000426</v>
      </c>
      <c r="AM215" s="12" t="str">
        <f>IF(V215&lt;=AO$3,VLOOKUP(V215,Kontenplan!$A$9:$D$278,4),"")</f>
        <v/>
      </c>
      <c r="AN215" s="12">
        <f t="shared" si="154"/>
        <v>0</v>
      </c>
      <c r="AO215" s="12" t="str">
        <f t="shared" ca="1" si="155"/>
        <v/>
      </c>
      <c r="AP215" s="46" t="str">
        <f t="shared" ca="1" si="156"/>
        <v/>
      </c>
      <c r="AQ215" s="46" t="str">
        <f t="shared" ca="1" si="157"/>
        <v/>
      </c>
      <c r="AR215" s="46"/>
      <c r="AS215" s="147">
        <f t="shared" ca="1" si="158"/>
        <v>3.0198000000000418</v>
      </c>
      <c r="AT215" s="147">
        <f t="shared" si="159"/>
        <v>2.0203000000000428</v>
      </c>
      <c r="AU215" s="47" t="str">
        <f>IF(V215&lt;=AW$3,VLOOKUP(AO$3+V215,Kontenplan!$A$9:$D$278,4),"")</f>
        <v/>
      </c>
      <c r="AV215" s="12">
        <f t="shared" si="160"/>
        <v>0</v>
      </c>
      <c r="AW215" s="12" t="str">
        <f t="shared" ca="1" si="161"/>
        <v/>
      </c>
      <c r="AX215" s="46" t="str">
        <f t="shared" ca="1" si="129"/>
        <v/>
      </c>
      <c r="AY215" s="46" t="str">
        <f t="shared" ca="1" si="162"/>
        <v/>
      </c>
      <c r="BA215" s="12">
        <f>Kontenplan!R217</f>
        <v>3</v>
      </c>
      <c r="BB215" s="12">
        <f>Kontenplan!S217</f>
        <v>2</v>
      </c>
      <c r="BC215" s="12">
        <f>Kontenplan!T217</f>
        <v>4</v>
      </c>
      <c r="BD215" s="170">
        <f>Kontenplan!U217</f>
        <v>4</v>
      </c>
      <c r="BF215" s="24">
        <f ca="1">SUM(AP$7:AP215)</f>
        <v>0</v>
      </c>
      <c r="BG215" s="46">
        <f ca="1">SUM(AQ$7:AQ214)</f>
        <v>0</v>
      </c>
      <c r="BH215" s="24">
        <f t="shared" ca="1" si="163"/>
        <v>0</v>
      </c>
      <c r="BI215" s="24"/>
      <c r="BJ215" s="24">
        <f ca="1">SUM(AX$7:AX215)</f>
        <v>0</v>
      </c>
      <c r="BK215" s="24">
        <f ca="1">SUM(AY$7:AY214)</f>
        <v>0</v>
      </c>
      <c r="BL215" s="24">
        <f t="shared" ca="1" si="164"/>
        <v>0</v>
      </c>
      <c r="BN215" s="24">
        <f ca="1">SUM(AB$7:AB215)</f>
        <v>0</v>
      </c>
      <c r="BO215" s="46">
        <f ca="1">SUM(AC$7:AC214)</f>
        <v>0</v>
      </c>
      <c r="BP215" s="24">
        <f t="shared" ca="1" si="165"/>
        <v>0</v>
      </c>
      <c r="BR215" s="24">
        <f ca="1">SUM(AH$7:AH215)</f>
        <v>0</v>
      </c>
      <c r="BS215" s="46">
        <f ca="1">SUM(AI$7:AI214)</f>
        <v>0</v>
      </c>
      <c r="BT215" s="24">
        <f t="shared" ca="1" si="166"/>
        <v>0</v>
      </c>
    </row>
    <row r="216" spans="1:72" s="12" customFormat="1">
      <c r="A216" s="202">
        <f>Kontenplan!C218</f>
        <v>0</v>
      </c>
      <c r="B216" s="224">
        <f>Kontenplan!E218</f>
        <v>0</v>
      </c>
      <c r="C216" s="225">
        <f>Kontenplan!F218</f>
        <v>0</v>
      </c>
      <c r="D216" s="43">
        <f>IF(B216=0,0,SUMIF(Journal!$F$7:$F$83,Calc!B216,Journal!$I$7:$I$83))</f>
        <v>0</v>
      </c>
      <c r="E216" s="15">
        <f>IF(B216=0,0,SUMIF(Journal!$G$7:$M290,Calc!B216,Journal!$I$7:$I$83))</f>
        <v>0</v>
      </c>
      <c r="F216" s="44">
        <f t="shared" si="130"/>
        <v>0</v>
      </c>
      <c r="G216" s="15">
        <f t="shared" si="131"/>
        <v>0</v>
      </c>
      <c r="H216" s="14" t="str">
        <f t="shared" si="132"/>
        <v xml:space="preserve"> </v>
      </c>
      <c r="I216" s="43" t="str">
        <f t="shared" si="133"/>
        <v xml:space="preserve"> </v>
      </c>
      <c r="J216" s="45" t="str">
        <f t="shared" si="134"/>
        <v xml:space="preserve"> </v>
      </c>
      <c r="K216" s="48" t="str">
        <f t="shared" si="135"/>
        <v xml:space="preserve"> </v>
      </c>
      <c r="L216" s="45" t="str">
        <f t="shared" si="136"/>
        <v xml:space="preserve"> </v>
      </c>
      <c r="M216" s="48" t="str">
        <f t="shared" si="137"/>
        <v xml:space="preserve"> </v>
      </c>
      <c r="N216" s="24"/>
      <c r="O216" s="12">
        <f t="shared" si="138"/>
        <v>10.039999999999907</v>
      </c>
      <c r="P216" s="12">
        <f t="shared" si="139"/>
        <v>9.038199999999911</v>
      </c>
      <c r="Q216" s="12">
        <f t="shared" si="140"/>
        <v>31.031999999999925</v>
      </c>
      <c r="R216" s="12">
        <f t="shared" si="141"/>
        <v>29.026199999999939</v>
      </c>
      <c r="S216" s="12">
        <f t="shared" si="142"/>
        <v>0</v>
      </c>
      <c r="T216" s="12">
        <f t="shared" si="143"/>
        <v>0</v>
      </c>
      <c r="U216" s="43">
        <f>IF(OR(A216=Kontenplan!$C$3,A216=Kontenplan!$C$5),F216-G216,G216-F216)</f>
        <v>0</v>
      </c>
      <c r="V216" s="171">
        <f t="shared" si="126"/>
        <v>210</v>
      </c>
      <c r="W216" s="12">
        <f t="shared" si="127"/>
        <v>183</v>
      </c>
      <c r="X216" s="12">
        <f t="shared" si="128"/>
        <v>185</v>
      </c>
      <c r="Y216" s="12">
        <f>IF(Z216=0,VLOOKUP(W216,Kontenplan!$Y$9:$AA$551,3),"")</f>
        <v>0</v>
      </c>
      <c r="Z216" s="12">
        <f t="shared" si="144"/>
        <v>0</v>
      </c>
      <c r="AA216" s="12" t="str">
        <f t="shared" ca="1" si="145"/>
        <v/>
      </c>
      <c r="AB216" s="46" t="str">
        <f t="shared" ca="1" si="146"/>
        <v/>
      </c>
      <c r="AC216" s="46" t="str">
        <f t="shared" ca="1" si="147"/>
        <v/>
      </c>
      <c r="AD216" s="47"/>
      <c r="AE216" s="12">
        <f>IF(AF216=0,VLOOKUP(X216,Kontenplan!$Z$9:$AB$551,3),"")</f>
        <v>0</v>
      </c>
      <c r="AF216" s="47">
        <f t="shared" si="148"/>
        <v>0</v>
      </c>
      <c r="AG216" s="12" t="str">
        <f t="shared" ca="1" si="149"/>
        <v/>
      </c>
      <c r="AH216" s="46" t="str">
        <f t="shared" ca="1" si="150"/>
        <v/>
      </c>
      <c r="AI216" s="46" t="str">
        <f t="shared" ca="1" si="151"/>
        <v/>
      </c>
      <c r="AJ216" s="46"/>
      <c r="AK216" s="147">
        <f t="shared" ca="1" si="152"/>
        <v>2.0200000000000422</v>
      </c>
      <c r="AL216" s="147">
        <f t="shared" si="153"/>
        <v>2.0203000000000428</v>
      </c>
      <c r="AM216" s="12" t="str">
        <f>IF(V216&lt;=AO$3,VLOOKUP(V216,Kontenplan!$A$9:$D$278,4),"")</f>
        <v/>
      </c>
      <c r="AN216" s="12">
        <f t="shared" si="154"/>
        <v>0</v>
      </c>
      <c r="AO216" s="12" t="str">
        <f t="shared" ca="1" si="155"/>
        <v/>
      </c>
      <c r="AP216" s="46" t="str">
        <f t="shared" ca="1" si="156"/>
        <v/>
      </c>
      <c r="AQ216" s="46" t="str">
        <f t="shared" ca="1" si="157"/>
        <v/>
      </c>
      <c r="AR216" s="46"/>
      <c r="AS216" s="147">
        <f t="shared" ca="1" si="158"/>
        <v>3.019900000000042</v>
      </c>
      <c r="AT216" s="147">
        <f t="shared" si="159"/>
        <v>2.0204000000000431</v>
      </c>
      <c r="AU216" s="47" t="str">
        <f>IF(V216&lt;=AW$3,VLOOKUP(AO$3+V216,Kontenplan!$A$9:$D$278,4),"")</f>
        <v/>
      </c>
      <c r="AV216" s="12">
        <f t="shared" si="160"/>
        <v>0</v>
      </c>
      <c r="AW216" s="12" t="str">
        <f t="shared" ca="1" si="161"/>
        <v/>
      </c>
      <c r="AX216" s="46" t="str">
        <f t="shared" ca="1" si="129"/>
        <v/>
      </c>
      <c r="AY216" s="46" t="str">
        <f t="shared" ca="1" si="162"/>
        <v/>
      </c>
      <c r="BA216" s="12">
        <f>Kontenplan!R218</f>
        <v>3</v>
      </c>
      <c r="BB216" s="12">
        <f>Kontenplan!S218</f>
        <v>2</v>
      </c>
      <c r="BC216" s="12">
        <f>Kontenplan!T218</f>
        <v>4</v>
      </c>
      <c r="BD216" s="170">
        <f>Kontenplan!U218</f>
        <v>4</v>
      </c>
      <c r="BF216" s="24">
        <f ca="1">SUM(AP$7:AP216)</f>
        <v>0</v>
      </c>
      <c r="BG216" s="46">
        <f ca="1">SUM(AQ$7:AQ215)</f>
        <v>0</v>
      </c>
      <c r="BH216" s="24">
        <f t="shared" ca="1" si="163"/>
        <v>0</v>
      </c>
      <c r="BI216" s="24"/>
      <c r="BJ216" s="24">
        <f ca="1">SUM(AX$7:AX216)</f>
        <v>0</v>
      </c>
      <c r="BK216" s="24">
        <f ca="1">SUM(AY$7:AY215)</f>
        <v>0</v>
      </c>
      <c r="BL216" s="24">
        <f t="shared" ca="1" si="164"/>
        <v>0</v>
      </c>
      <c r="BN216" s="24">
        <f ca="1">SUM(AB$7:AB216)</f>
        <v>0</v>
      </c>
      <c r="BO216" s="46">
        <f ca="1">SUM(AC$7:AC215)</f>
        <v>0</v>
      </c>
      <c r="BP216" s="24">
        <f t="shared" ca="1" si="165"/>
        <v>0</v>
      </c>
      <c r="BR216" s="24">
        <f ca="1">SUM(AH$7:AH216)</f>
        <v>0</v>
      </c>
      <c r="BS216" s="46">
        <f ca="1">SUM(AI$7:AI215)</f>
        <v>0</v>
      </c>
      <c r="BT216" s="24">
        <f t="shared" ca="1" si="166"/>
        <v>0</v>
      </c>
    </row>
    <row r="217" spans="1:72" s="12" customFormat="1">
      <c r="A217" s="202">
        <f>Kontenplan!C219</f>
        <v>0</v>
      </c>
      <c r="B217" s="224">
        <f>Kontenplan!E219</f>
        <v>0</v>
      </c>
      <c r="C217" s="225">
        <f>Kontenplan!F219</f>
        <v>0</v>
      </c>
      <c r="D217" s="43">
        <f>IF(B217=0,0,SUMIF(Journal!$F$7:$F$83,Calc!B217,Journal!$I$7:$I$83))</f>
        <v>0</v>
      </c>
      <c r="E217" s="15">
        <f>IF(B217=0,0,SUMIF(Journal!$G$7:$M291,Calc!B217,Journal!$I$7:$I$83))</f>
        <v>0</v>
      </c>
      <c r="F217" s="44">
        <f t="shared" si="130"/>
        <v>0</v>
      </c>
      <c r="G217" s="15">
        <f t="shared" si="131"/>
        <v>0</v>
      </c>
      <c r="H217" s="14" t="str">
        <f t="shared" si="132"/>
        <v xml:space="preserve"> </v>
      </c>
      <c r="I217" s="43" t="str">
        <f t="shared" si="133"/>
        <v xml:space="preserve"> </v>
      </c>
      <c r="J217" s="45" t="str">
        <f t="shared" si="134"/>
        <v xml:space="preserve"> </v>
      </c>
      <c r="K217" s="48" t="str">
        <f t="shared" si="135"/>
        <v xml:space="preserve"> </v>
      </c>
      <c r="L217" s="45" t="str">
        <f t="shared" si="136"/>
        <v xml:space="preserve"> </v>
      </c>
      <c r="M217" s="48" t="str">
        <f t="shared" si="137"/>
        <v xml:space="preserve"> </v>
      </c>
      <c r="N217" s="24"/>
      <c r="O217" s="12">
        <f t="shared" si="138"/>
        <v>10.040199999999906</v>
      </c>
      <c r="P217" s="12">
        <f t="shared" si="139"/>
        <v>9.0383999999999105</v>
      </c>
      <c r="Q217" s="12">
        <f t="shared" si="140"/>
        <v>31.032199999999925</v>
      </c>
      <c r="R217" s="12">
        <f t="shared" si="141"/>
        <v>29.026399999999938</v>
      </c>
      <c r="S217" s="12">
        <f t="shared" si="142"/>
        <v>0</v>
      </c>
      <c r="T217" s="12">
        <f t="shared" si="143"/>
        <v>0</v>
      </c>
      <c r="U217" s="43">
        <f>IF(OR(A217=Kontenplan!$C$3,A217=Kontenplan!$C$5),F217-G217,G217-F217)</f>
        <v>0</v>
      </c>
      <c r="V217" s="171">
        <f t="shared" si="126"/>
        <v>211</v>
      </c>
      <c r="W217" s="12">
        <f t="shared" si="127"/>
        <v>184</v>
      </c>
      <c r="X217" s="12">
        <f t="shared" si="128"/>
        <v>186</v>
      </c>
      <c r="Y217" s="12">
        <f>IF(Z217=0,VLOOKUP(W217,Kontenplan!$Y$9:$AA$551,3),"")</f>
        <v>0</v>
      </c>
      <c r="Z217" s="12">
        <f t="shared" si="144"/>
        <v>0</v>
      </c>
      <c r="AA217" s="12" t="str">
        <f t="shared" ca="1" si="145"/>
        <v/>
      </c>
      <c r="AB217" s="46" t="str">
        <f t="shared" ca="1" si="146"/>
        <v/>
      </c>
      <c r="AC217" s="46" t="str">
        <f t="shared" ca="1" si="147"/>
        <v/>
      </c>
      <c r="AD217" s="47"/>
      <c r="AE217" s="12">
        <f>IF(AF217=0,VLOOKUP(X217,Kontenplan!$Z$9:$AB$551,3),"")</f>
        <v>0</v>
      </c>
      <c r="AF217" s="47">
        <f t="shared" si="148"/>
        <v>0</v>
      </c>
      <c r="AG217" s="12" t="str">
        <f t="shared" ca="1" si="149"/>
        <v/>
      </c>
      <c r="AH217" s="46" t="str">
        <f t="shared" ca="1" si="150"/>
        <v/>
      </c>
      <c r="AI217" s="46" t="str">
        <f t="shared" ca="1" si="151"/>
        <v/>
      </c>
      <c r="AJ217" s="46"/>
      <c r="AK217" s="147">
        <f t="shared" ca="1" si="152"/>
        <v>2.0201000000000424</v>
      </c>
      <c r="AL217" s="147">
        <f t="shared" si="153"/>
        <v>2.0204000000000431</v>
      </c>
      <c r="AM217" s="12" t="str">
        <f>IF(V217&lt;=AO$3,VLOOKUP(V217,Kontenplan!$A$9:$D$278,4),"")</f>
        <v/>
      </c>
      <c r="AN217" s="12">
        <f t="shared" si="154"/>
        <v>0</v>
      </c>
      <c r="AO217" s="12" t="str">
        <f t="shared" ca="1" si="155"/>
        <v/>
      </c>
      <c r="AP217" s="46" t="str">
        <f t="shared" ca="1" si="156"/>
        <v/>
      </c>
      <c r="AQ217" s="46" t="str">
        <f t="shared" ca="1" si="157"/>
        <v/>
      </c>
      <c r="AR217" s="46"/>
      <c r="AS217" s="147">
        <f t="shared" ca="1" si="158"/>
        <v>3.0200000000000422</v>
      </c>
      <c r="AT217" s="147">
        <f t="shared" si="159"/>
        <v>2.0205000000000433</v>
      </c>
      <c r="AU217" s="47" t="str">
        <f>IF(V217&lt;=AW$3,VLOOKUP(AO$3+V217,Kontenplan!$A$9:$D$278,4),"")</f>
        <v/>
      </c>
      <c r="AV217" s="12">
        <f t="shared" si="160"/>
        <v>0</v>
      </c>
      <c r="AW217" s="12" t="str">
        <f t="shared" ca="1" si="161"/>
        <v/>
      </c>
      <c r="AX217" s="46" t="str">
        <f t="shared" ca="1" si="129"/>
        <v/>
      </c>
      <c r="AY217" s="46" t="str">
        <f t="shared" ca="1" si="162"/>
        <v/>
      </c>
      <c r="BA217" s="12">
        <f>Kontenplan!R219</f>
        <v>3</v>
      </c>
      <c r="BB217" s="12">
        <f>Kontenplan!S219</f>
        <v>2</v>
      </c>
      <c r="BC217" s="12">
        <f>Kontenplan!T219</f>
        <v>4</v>
      </c>
      <c r="BD217" s="170">
        <f>Kontenplan!U219</f>
        <v>4</v>
      </c>
      <c r="BF217" s="24">
        <f ca="1">SUM(AP$7:AP217)</f>
        <v>0</v>
      </c>
      <c r="BG217" s="46">
        <f ca="1">SUM(AQ$7:AQ216)</f>
        <v>0</v>
      </c>
      <c r="BH217" s="24">
        <f t="shared" ca="1" si="163"/>
        <v>0</v>
      </c>
      <c r="BI217" s="24"/>
      <c r="BJ217" s="24">
        <f ca="1">SUM(AX$7:AX217)</f>
        <v>0</v>
      </c>
      <c r="BK217" s="24">
        <f ca="1">SUM(AY$7:AY216)</f>
        <v>0</v>
      </c>
      <c r="BL217" s="24">
        <f t="shared" ca="1" si="164"/>
        <v>0</v>
      </c>
      <c r="BN217" s="24">
        <f ca="1">SUM(AB$7:AB217)</f>
        <v>0</v>
      </c>
      <c r="BO217" s="46">
        <f ca="1">SUM(AC$7:AC216)</f>
        <v>0</v>
      </c>
      <c r="BP217" s="24">
        <f t="shared" ca="1" si="165"/>
        <v>0</v>
      </c>
      <c r="BR217" s="24">
        <f ca="1">SUM(AH$7:AH217)</f>
        <v>0</v>
      </c>
      <c r="BS217" s="46">
        <f ca="1">SUM(AI$7:AI216)</f>
        <v>0</v>
      </c>
      <c r="BT217" s="24">
        <f t="shared" ca="1" si="166"/>
        <v>0</v>
      </c>
    </row>
    <row r="218" spans="1:72" s="12" customFormat="1">
      <c r="A218" s="202">
        <f>Kontenplan!C220</f>
        <v>0</v>
      </c>
      <c r="B218" s="224">
        <f>Kontenplan!E220</f>
        <v>0</v>
      </c>
      <c r="C218" s="225">
        <f>Kontenplan!F220</f>
        <v>0</v>
      </c>
      <c r="D218" s="43">
        <f>IF(B218=0,0,SUMIF(Journal!$F$7:$F$83,Calc!B218,Journal!$I$7:$I$83))</f>
        <v>0</v>
      </c>
      <c r="E218" s="15">
        <f>IF(B218=0,0,SUMIF(Journal!$G$7:$M292,Calc!B218,Journal!$I$7:$I$83))</f>
        <v>0</v>
      </c>
      <c r="F218" s="44">
        <f t="shared" si="130"/>
        <v>0</v>
      </c>
      <c r="G218" s="15">
        <f t="shared" si="131"/>
        <v>0</v>
      </c>
      <c r="H218" s="14" t="str">
        <f t="shared" si="132"/>
        <v xml:space="preserve"> </v>
      </c>
      <c r="I218" s="43" t="str">
        <f t="shared" si="133"/>
        <v xml:space="preserve"> </v>
      </c>
      <c r="J218" s="45" t="str">
        <f t="shared" si="134"/>
        <v xml:space="preserve"> </v>
      </c>
      <c r="K218" s="48" t="str">
        <f t="shared" si="135"/>
        <v xml:space="preserve"> </v>
      </c>
      <c r="L218" s="45" t="str">
        <f t="shared" si="136"/>
        <v xml:space="preserve"> </v>
      </c>
      <c r="M218" s="48" t="str">
        <f t="shared" si="137"/>
        <v xml:space="preserve"> </v>
      </c>
      <c r="N218" s="24"/>
      <c r="O218" s="12">
        <f t="shared" si="138"/>
        <v>10.040399999999906</v>
      </c>
      <c r="P218" s="12">
        <f t="shared" si="139"/>
        <v>9.03859999999991</v>
      </c>
      <c r="Q218" s="12">
        <f t="shared" si="140"/>
        <v>31.032399999999924</v>
      </c>
      <c r="R218" s="12">
        <f t="shared" si="141"/>
        <v>29.026599999999938</v>
      </c>
      <c r="S218" s="12">
        <f t="shared" si="142"/>
        <v>0</v>
      </c>
      <c r="T218" s="12">
        <f t="shared" si="143"/>
        <v>0</v>
      </c>
      <c r="U218" s="43">
        <f>IF(OR(A218=Kontenplan!$C$3,A218=Kontenplan!$C$5),F218-G218,G218-F218)</f>
        <v>0</v>
      </c>
      <c r="V218" s="171">
        <f t="shared" si="126"/>
        <v>212</v>
      </c>
      <c r="W218" s="12">
        <f t="shared" si="127"/>
        <v>185</v>
      </c>
      <c r="X218" s="12">
        <f t="shared" si="128"/>
        <v>187</v>
      </c>
      <c r="Y218" s="12">
        <f>IF(Z218=0,VLOOKUP(W218,Kontenplan!$Y$9:$AA$551,3),"")</f>
        <v>0</v>
      </c>
      <c r="Z218" s="12">
        <f t="shared" si="144"/>
        <v>0</v>
      </c>
      <c r="AA218" s="12" t="str">
        <f t="shared" ca="1" si="145"/>
        <v/>
      </c>
      <c r="AB218" s="46" t="str">
        <f t="shared" ca="1" si="146"/>
        <v/>
      </c>
      <c r="AC218" s="46" t="str">
        <f t="shared" ca="1" si="147"/>
        <v/>
      </c>
      <c r="AD218" s="47"/>
      <c r="AE218" s="12">
        <f>IF(AF218=0,VLOOKUP(X218,Kontenplan!$Z$9:$AB$551,3),"")</f>
        <v>0</v>
      </c>
      <c r="AF218" s="47">
        <f t="shared" si="148"/>
        <v>0</v>
      </c>
      <c r="AG218" s="12" t="str">
        <f t="shared" ca="1" si="149"/>
        <v/>
      </c>
      <c r="AH218" s="46" t="str">
        <f t="shared" ca="1" si="150"/>
        <v/>
      </c>
      <c r="AI218" s="46" t="str">
        <f t="shared" ca="1" si="151"/>
        <v/>
      </c>
      <c r="AJ218" s="46"/>
      <c r="AK218" s="147">
        <f t="shared" ca="1" si="152"/>
        <v>2.0202000000000426</v>
      </c>
      <c r="AL218" s="147">
        <f t="shared" si="153"/>
        <v>2.0205000000000433</v>
      </c>
      <c r="AM218" s="12" t="str">
        <f>IF(V218&lt;=AO$3,VLOOKUP(V218,Kontenplan!$A$9:$D$278,4),"")</f>
        <v/>
      </c>
      <c r="AN218" s="12">
        <f t="shared" si="154"/>
        <v>0</v>
      </c>
      <c r="AO218" s="12" t="str">
        <f t="shared" ca="1" si="155"/>
        <v/>
      </c>
      <c r="AP218" s="46" t="str">
        <f t="shared" ca="1" si="156"/>
        <v/>
      </c>
      <c r="AQ218" s="46" t="str">
        <f t="shared" ca="1" si="157"/>
        <v/>
      </c>
      <c r="AR218" s="46"/>
      <c r="AS218" s="147">
        <f t="shared" ca="1" si="158"/>
        <v>3.0201000000000424</v>
      </c>
      <c r="AT218" s="147">
        <f t="shared" si="159"/>
        <v>2.0206000000000435</v>
      </c>
      <c r="AU218" s="47" t="str">
        <f>IF(V218&lt;=AW$3,VLOOKUP(AO$3+V218,Kontenplan!$A$9:$D$278,4),"")</f>
        <v/>
      </c>
      <c r="AV218" s="12">
        <f t="shared" si="160"/>
        <v>0</v>
      </c>
      <c r="AW218" s="12" t="str">
        <f t="shared" ca="1" si="161"/>
        <v/>
      </c>
      <c r="AX218" s="46" t="str">
        <f t="shared" ca="1" si="129"/>
        <v/>
      </c>
      <c r="AY218" s="46" t="str">
        <f t="shared" ca="1" si="162"/>
        <v/>
      </c>
      <c r="BA218" s="12">
        <f>Kontenplan!R220</f>
        <v>3</v>
      </c>
      <c r="BB218" s="12">
        <f>Kontenplan!S220</f>
        <v>2</v>
      </c>
      <c r="BC218" s="12">
        <f>Kontenplan!T220</f>
        <v>4</v>
      </c>
      <c r="BD218" s="170">
        <f>Kontenplan!U220</f>
        <v>4</v>
      </c>
      <c r="BF218" s="24">
        <f ca="1">SUM(AP$7:AP218)</f>
        <v>0</v>
      </c>
      <c r="BG218" s="46">
        <f ca="1">SUM(AQ$7:AQ217)</f>
        <v>0</v>
      </c>
      <c r="BH218" s="24">
        <f t="shared" ca="1" si="163"/>
        <v>0</v>
      </c>
      <c r="BI218" s="24"/>
      <c r="BJ218" s="24">
        <f ca="1">SUM(AX$7:AX218)</f>
        <v>0</v>
      </c>
      <c r="BK218" s="24">
        <f ca="1">SUM(AY$7:AY217)</f>
        <v>0</v>
      </c>
      <c r="BL218" s="24">
        <f t="shared" ca="1" si="164"/>
        <v>0</v>
      </c>
      <c r="BN218" s="24">
        <f ca="1">SUM(AB$7:AB218)</f>
        <v>0</v>
      </c>
      <c r="BO218" s="46">
        <f ca="1">SUM(AC$7:AC217)</f>
        <v>0</v>
      </c>
      <c r="BP218" s="24">
        <f t="shared" ca="1" si="165"/>
        <v>0</v>
      </c>
      <c r="BR218" s="24">
        <f ca="1">SUM(AH$7:AH218)</f>
        <v>0</v>
      </c>
      <c r="BS218" s="46">
        <f ca="1">SUM(AI$7:AI217)</f>
        <v>0</v>
      </c>
      <c r="BT218" s="24">
        <f t="shared" ca="1" si="166"/>
        <v>0</v>
      </c>
    </row>
    <row r="219" spans="1:72" s="12" customFormat="1">
      <c r="A219" s="202">
        <f>Kontenplan!C221</f>
        <v>0</v>
      </c>
      <c r="B219" s="224">
        <f>Kontenplan!E221</f>
        <v>0</v>
      </c>
      <c r="C219" s="225">
        <f>Kontenplan!F221</f>
        <v>0</v>
      </c>
      <c r="D219" s="43">
        <f>IF(B219=0,0,SUMIF(Journal!$F$7:$F$83,Calc!B219,Journal!$I$7:$I$83))</f>
        <v>0</v>
      </c>
      <c r="E219" s="15">
        <f>IF(B219=0,0,SUMIF(Journal!$G$7:$M293,Calc!B219,Journal!$I$7:$I$83))</f>
        <v>0</v>
      </c>
      <c r="F219" s="44">
        <f t="shared" si="130"/>
        <v>0</v>
      </c>
      <c r="G219" s="15">
        <f t="shared" si="131"/>
        <v>0</v>
      </c>
      <c r="H219" s="14" t="str">
        <f t="shared" si="132"/>
        <v xml:space="preserve"> </v>
      </c>
      <c r="I219" s="43" t="str">
        <f t="shared" si="133"/>
        <v xml:space="preserve"> </v>
      </c>
      <c r="J219" s="45" t="str">
        <f t="shared" si="134"/>
        <v xml:space="preserve"> </v>
      </c>
      <c r="K219" s="48" t="str">
        <f t="shared" si="135"/>
        <v xml:space="preserve"> </v>
      </c>
      <c r="L219" s="45" t="str">
        <f t="shared" si="136"/>
        <v xml:space="preserve"> </v>
      </c>
      <c r="M219" s="48" t="str">
        <f t="shared" si="137"/>
        <v xml:space="preserve"> </v>
      </c>
      <c r="N219" s="24"/>
      <c r="O219" s="12">
        <f t="shared" si="138"/>
        <v>10.040599999999905</v>
      </c>
      <c r="P219" s="12">
        <f t="shared" si="139"/>
        <v>9.0387999999999096</v>
      </c>
      <c r="Q219" s="12">
        <f t="shared" si="140"/>
        <v>31.032599999999924</v>
      </c>
      <c r="R219" s="12">
        <f t="shared" si="141"/>
        <v>29.026799999999938</v>
      </c>
      <c r="S219" s="12">
        <f t="shared" si="142"/>
        <v>0</v>
      </c>
      <c r="T219" s="12">
        <f t="shared" si="143"/>
        <v>0</v>
      </c>
      <c r="U219" s="43">
        <f>IF(OR(A219=Kontenplan!$C$3,A219=Kontenplan!$C$5),F219-G219,G219-F219)</f>
        <v>0</v>
      </c>
      <c r="V219" s="171">
        <f t="shared" si="126"/>
        <v>213</v>
      </c>
      <c r="W219" s="12">
        <f t="shared" si="127"/>
        <v>186</v>
      </c>
      <c r="X219" s="12">
        <f t="shared" si="128"/>
        <v>188</v>
      </c>
      <c r="Y219" s="12">
        <f>IF(Z219=0,VLOOKUP(W219,Kontenplan!$Y$9:$AA$551,3),"")</f>
        <v>0</v>
      </c>
      <c r="Z219" s="12">
        <f t="shared" si="144"/>
        <v>0</v>
      </c>
      <c r="AA219" s="12" t="str">
        <f t="shared" ca="1" si="145"/>
        <v/>
      </c>
      <c r="AB219" s="46" t="str">
        <f t="shared" ca="1" si="146"/>
        <v/>
      </c>
      <c r="AC219" s="46" t="str">
        <f t="shared" ca="1" si="147"/>
        <v/>
      </c>
      <c r="AD219" s="47"/>
      <c r="AE219" s="12">
        <f>IF(AF219=0,VLOOKUP(X219,Kontenplan!$Z$9:$AB$551,3),"")</f>
        <v>0</v>
      </c>
      <c r="AF219" s="47">
        <f t="shared" si="148"/>
        <v>0</v>
      </c>
      <c r="AG219" s="12" t="str">
        <f t="shared" ca="1" si="149"/>
        <v/>
      </c>
      <c r="AH219" s="46" t="str">
        <f t="shared" ca="1" si="150"/>
        <v/>
      </c>
      <c r="AI219" s="46" t="str">
        <f t="shared" ca="1" si="151"/>
        <v/>
      </c>
      <c r="AJ219" s="46"/>
      <c r="AK219" s="147">
        <f t="shared" ca="1" si="152"/>
        <v>2.0203000000000428</v>
      </c>
      <c r="AL219" s="147">
        <f t="shared" si="153"/>
        <v>2.0206000000000435</v>
      </c>
      <c r="AM219" s="12" t="str">
        <f>IF(V219&lt;=AO$3,VLOOKUP(V219,Kontenplan!$A$9:$D$278,4),"")</f>
        <v/>
      </c>
      <c r="AN219" s="12">
        <f t="shared" si="154"/>
        <v>0</v>
      </c>
      <c r="AO219" s="12" t="str">
        <f t="shared" ca="1" si="155"/>
        <v/>
      </c>
      <c r="AP219" s="46" t="str">
        <f t="shared" ca="1" si="156"/>
        <v/>
      </c>
      <c r="AQ219" s="46" t="str">
        <f t="shared" ca="1" si="157"/>
        <v/>
      </c>
      <c r="AR219" s="46"/>
      <c r="AS219" s="147">
        <f t="shared" ca="1" si="158"/>
        <v>3.0202000000000426</v>
      </c>
      <c r="AT219" s="147">
        <f t="shared" si="159"/>
        <v>2.0207000000000437</v>
      </c>
      <c r="AU219" s="47" t="str">
        <f>IF(V219&lt;=AW$3,VLOOKUP(AO$3+V219,Kontenplan!$A$9:$D$278,4),"")</f>
        <v/>
      </c>
      <c r="AV219" s="12">
        <f t="shared" si="160"/>
        <v>0</v>
      </c>
      <c r="AW219" s="12" t="str">
        <f t="shared" ca="1" si="161"/>
        <v/>
      </c>
      <c r="AX219" s="46" t="str">
        <f t="shared" ca="1" si="129"/>
        <v/>
      </c>
      <c r="AY219" s="46" t="str">
        <f t="shared" ca="1" si="162"/>
        <v/>
      </c>
      <c r="BA219" s="12">
        <f>Kontenplan!R221</f>
        <v>3</v>
      </c>
      <c r="BB219" s="12">
        <f>Kontenplan!S221</f>
        <v>2</v>
      </c>
      <c r="BC219" s="12">
        <f>Kontenplan!T221</f>
        <v>4</v>
      </c>
      <c r="BD219" s="170">
        <f>Kontenplan!U221</f>
        <v>4</v>
      </c>
      <c r="BF219" s="24">
        <f ca="1">SUM(AP$7:AP219)</f>
        <v>0</v>
      </c>
      <c r="BG219" s="46">
        <f ca="1">SUM(AQ$7:AQ218)</f>
        <v>0</v>
      </c>
      <c r="BH219" s="24">
        <f t="shared" ca="1" si="163"/>
        <v>0</v>
      </c>
      <c r="BI219" s="24"/>
      <c r="BJ219" s="24">
        <f ca="1">SUM(AX$7:AX219)</f>
        <v>0</v>
      </c>
      <c r="BK219" s="24">
        <f ca="1">SUM(AY$7:AY218)</f>
        <v>0</v>
      </c>
      <c r="BL219" s="24">
        <f t="shared" ca="1" si="164"/>
        <v>0</v>
      </c>
      <c r="BN219" s="24">
        <f ca="1">SUM(AB$7:AB219)</f>
        <v>0</v>
      </c>
      <c r="BO219" s="46">
        <f ca="1">SUM(AC$7:AC218)</f>
        <v>0</v>
      </c>
      <c r="BP219" s="24">
        <f t="shared" ca="1" si="165"/>
        <v>0</v>
      </c>
      <c r="BR219" s="24">
        <f ca="1">SUM(AH$7:AH219)</f>
        <v>0</v>
      </c>
      <c r="BS219" s="46">
        <f ca="1">SUM(AI$7:AI218)</f>
        <v>0</v>
      </c>
      <c r="BT219" s="24">
        <f t="shared" ca="1" si="166"/>
        <v>0</v>
      </c>
    </row>
    <row r="220" spans="1:72" s="12" customFormat="1">
      <c r="A220" s="202">
        <f>Kontenplan!C222</f>
        <v>0</v>
      </c>
      <c r="B220" s="224">
        <f>Kontenplan!E222</f>
        <v>0</v>
      </c>
      <c r="C220" s="225">
        <f>Kontenplan!F222</f>
        <v>0</v>
      </c>
      <c r="D220" s="43">
        <f>IF(B220=0,0,SUMIF(Journal!$F$7:$F$83,Calc!B220,Journal!$I$7:$I$83))</f>
        <v>0</v>
      </c>
      <c r="E220" s="15">
        <f>IF(B220=0,0,SUMIF(Journal!$G$7:$M294,Calc!B220,Journal!$I$7:$I$83))</f>
        <v>0</v>
      </c>
      <c r="F220" s="44">
        <f t="shared" si="130"/>
        <v>0</v>
      </c>
      <c r="G220" s="15">
        <f t="shared" si="131"/>
        <v>0</v>
      </c>
      <c r="H220" s="14" t="str">
        <f t="shared" si="132"/>
        <v xml:space="preserve"> </v>
      </c>
      <c r="I220" s="43" t="str">
        <f t="shared" si="133"/>
        <v xml:space="preserve"> </v>
      </c>
      <c r="J220" s="45" t="str">
        <f t="shared" si="134"/>
        <v xml:space="preserve"> </v>
      </c>
      <c r="K220" s="48" t="str">
        <f t="shared" si="135"/>
        <v xml:space="preserve"> </v>
      </c>
      <c r="L220" s="45" t="str">
        <f t="shared" si="136"/>
        <v xml:space="preserve"> </v>
      </c>
      <c r="M220" s="48" t="str">
        <f t="shared" si="137"/>
        <v xml:space="preserve"> </v>
      </c>
      <c r="N220" s="24"/>
      <c r="O220" s="12">
        <f t="shared" si="138"/>
        <v>10.040799999999905</v>
      </c>
      <c r="P220" s="12">
        <f t="shared" si="139"/>
        <v>9.0389999999999091</v>
      </c>
      <c r="Q220" s="12">
        <f t="shared" si="140"/>
        <v>31.032799999999924</v>
      </c>
      <c r="R220" s="12">
        <f t="shared" si="141"/>
        <v>29.026999999999937</v>
      </c>
      <c r="S220" s="12">
        <f t="shared" si="142"/>
        <v>0</v>
      </c>
      <c r="T220" s="12">
        <f t="shared" si="143"/>
        <v>0</v>
      </c>
      <c r="U220" s="43">
        <f>IF(OR(A220=Kontenplan!$C$3,A220=Kontenplan!$C$5),F220-G220,G220-F220)</f>
        <v>0</v>
      </c>
      <c r="V220" s="171">
        <f t="shared" si="126"/>
        <v>214</v>
      </c>
      <c r="W220" s="12">
        <f t="shared" si="127"/>
        <v>187</v>
      </c>
      <c r="X220" s="12">
        <f t="shared" si="128"/>
        <v>189</v>
      </c>
      <c r="Y220" s="12">
        <f>IF(Z220=0,VLOOKUP(W220,Kontenplan!$Y$9:$AA$551,3),"")</f>
        <v>0</v>
      </c>
      <c r="Z220" s="12">
        <f t="shared" si="144"/>
        <v>0</v>
      </c>
      <c r="AA220" s="12" t="str">
        <f t="shared" ca="1" si="145"/>
        <v/>
      </c>
      <c r="AB220" s="46" t="str">
        <f t="shared" ca="1" si="146"/>
        <v/>
      </c>
      <c r="AC220" s="46" t="str">
        <f t="shared" ca="1" si="147"/>
        <v/>
      </c>
      <c r="AD220" s="47"/>
      <c r="AE220" s="12">
        <f>IF(AF220=0,VLOOKUP(X220,Kontenplan!$Z$9:$AB$551,3),"")</f>
        <v>0</v>
      </c>
      <c r="AF220" s="47">
        <f t="shared" si="148"/>
        <v>0</v>
      </c>
      <c r="AG220" s="12" t="str">
        <f t="shared" ca="1" si="149"/>
        <v/>
      </c>
      <c r="AH220" s="46" t="str">
        <f t="shared" ca="1" si="150"/>
        <v/>
      </c>
      <c r="AI220" s="46" t="str">
        <f t="shared" ca="1" si="151"/>
        <v/>
      </c>
      <c r="AJ220" s="46"/>
      <c r="AK220" s="147">
        <f t="shared" ca="1" si="152"/>
        <v>2.0204000000000431</v>
      </c>
      <c r="AL220" s="147">
        <f t="shared" si="153"/>
        <v>2.0207000000000437</v>
      </c>
      <c r="AM220" s="12" t="str">
        <f>IF(V220&lt;=AO$3,VLOOKUP(V220,Kontenplan!$A$9:$D$278,4),"")</f>
        <v/>
      </c>
      <c r="AN220" s="12">
        <f t="shared" si="154"/>
        <v>0</v>
      </c>
      <c r="AO220" s="12" t="str">
        <f t="shared" ca="1" si="155"/>
        <v/>
      </c>
      <c r="AP220" s="46" t="str">
        <f t="shared" ca="1" si="156"/>
        <v/>
      </c>
      <c r="AQ220" s="46" t="str">
        <f t="shared" ca="1" si="157"/>
        <v/>
      </c>
      <c r="AR220" s="46"/>
      <c r="AS220" s="147">
        <f t="shared" ca="1" si="158"/>
        <v>3.0203000000000428</v>
      </c>
      <c r="AT220" s="147">
        <f t="shared" si="159"/>
        <v>2.0208000000000439</v>
      </c>
      <c r="AU220" s="47" t="str">
        <f>IF(V220&lt;=AW$3,VLOOKUP(AO$3+V220,Kontenplan!$A$9:$D$278,4),"")</f>
        <v/>
      </c>
      <c r="AV220" s="12">
        <f t="shared" si="160"/>
        <v>0</v>
      </c>
      <c r="AW220" s="12" t="str">
        <f t="shared" ca="1" si="161"/>
        <v/>
      </c>
      <c r="AX220" s="46" t="str">
        <f t="shared" ca="1" si="129"/>
        <v/>
      </c>
      <c r="AY220" s="46" t="str">
        <f t="shared" ca="1" si="162"/>
        <v/>
      </c>
      <c r="BA220" s="12">
        <f>Kontenplan!R222</f>
        <v>3</v>
      </c>
      <c r="BB220" s="12">
        <f>Kontenplan!S222</f>
        <v>2</v>
      </c>
      <c r="BC220" s="12">
        <f>Kontenplan!T222</f>
        <v>4</v>
      </c>
      <c r="BD220" s="170">
        <f>Kontenplan!U222</f>
        <v>4</v>
      </c>
      <c r="BF220" s="24">
        <f ca="1">SUM(AP$7:AP220)</f>
        <v>0</v>
      </c>
      <c r="BG220" s="46">
        <f ca="1">SUM(AQ$7:AQ219)</f>
        <v>0</v>
      </c>
      <c r="BH220" s="24">
        <f t="shared" ca="1" si="163"/>
        <v>0</v>
      </c>
      <c r="BI220" s="24"/>
      <c r="BJ220" s="24">
        <f ca="1">SUM(AX$7:AX220)</f>
        <v>0</v>
      </c>
      <c r="BK220" s="24">
        <f ca="1">SUM(AY$7:AY219)</f>
        <v>0</v>
      </c>
      <c r="BL220" s="24">
        <f t="shared" ca="1" si="164"/>
        <v>0</v>
      </c>
      <c r="BN220" s="24">
        <f ca="1">SUM(AB$7:AB220)</f>
        <v>0</v>
      </c>
      <c r="BO220" s="46">
        <f ca="1">SUM(AC$7:AC219)</f>
        <v>0</v>
      </c>
      <c r="BP220" s="24">
        <f t="shared" ca="1" si="165"/>
        <v>0</v>
      </c>
      <c r="BR220" s="24">
        <f ca="1">SUM(AH$7:AH220)</f>
        <v>0</v>
      </c>
      <c r="BS220" s="46">
        <f ca="1">SUM(AI$7:AI219)</f>
        <v>0</v>
      </c>
      <c r="BT220" s="24">
        <f t="shared" ca="1" si="166"/>
        <v>0</v>
      </c>
    </row>
    <row r="221" spans="1:72" s="12" customFormat="1">
      <c r="A221" s="202">
        <f>Kontenplan!C223</f>
        <v>0</v>
      </c>
      <c r="B221" s="224">
        <f>Kontenplan!E223</f>
        <v>0</v>
      </c>
      <c r="C221" s="225">
        <f>Kontenplan!F223</f>
        <v>0</v>
      </c>
      <c r="D221" s="43">
        <f>IF(B221=0,0,SUMIF(Journal!$F$7:$F$83,Calc!B221,Journal!$I$7:$I$83))</f>
        <v>0</v>
      </c>
      <c r="E221" s="15">
        <f>IF(B221=0,0,SUMIF(Journal!$G$7:$M295,Calc!B221,Journal!$I$7:$I$83))</f>
        <v>0</v>
      </c>
      <c r="F221" s="44">
        <f t="shared" si="130"/>
        <v>0</v>
      </c>
      <c r="G221" s="15">
        <f t="shared" si="131"/>
        <v>0</v>
      </c>
      <c r="H221" s="14" t="str">
        <f t="shared" si="132"/>
        <v xml:space="preserve"> </v>
      </c>
      <c r="I221" s="43" t="str">
        <f t="shared" si="133"/>
        <v xml:space="preserve"> </v>
      </c>
      <c r="J221" s="45" t="str">
        <f t="shared" si="134"/>
        <v xml:space="preserve"> </v>
      </c>
      <c r="K221" s="48" t="str">
        <f t="shared" si="135"/>
        <v xml:space="preserve"> </v>
      </c>
      <c r="L221" s="45" t="str">
        <f t="shared" si="136"/>
        <v xml:space="preserve"> </v>
      </c>
      <c r="M221" s="48" t="str">
        <f t="shared" si="137"/>
        <v xml:space="preserve"> </v>
      </c>
      <c r="N221" s="24"/>
      <c r="O221" s="12">
        <f t="shared" si="138"/>
        <v>10.040999999999904</v>
      </c>
      <c r="P221" s="12">
        <f t="shared" si="139"/>
        <v>9.0391999999999086</v>
      </c>
      <c r="Q221" s="12">
        <f t="shared" si="140"/>
        <v>31.032999999999923</v>
      </c>
      <c r="R221" s="12">
        <f t="shared" si="141"/>
        <v>29.027199999999937</v>
      </c>
      <c r="S221" s="12">
        <f t="shared" si="142"/>
        <v>0</v>
      </c>
      <c r="T221" s="12">
        <f t="shared" si="143"/>
        <v>0</v>
      </c>
      <c r="U221" s="43">
        <f>IF(OR(A221=Kontenplan!$C$3,A221=Kontenplan!$C$5),F221-G221,G221-F221)</f>
        <v>0</v>
      </c>
      <c r="V221" s="171">
        <f t="shared" si="126"/>
        <v>215</v>
      </c>
      <c r="W221" s="12">
        <f t="shared" si="127"/>
        <v>188</v>
      </c>
      <c r="X221" s="12">
        <f t="shared" si="128"/>
        <v>190</v>
      </c>
      <c r="Y221" s="12">
        <f>IF(Z221=0,VLOOKUP(W221,Kontenplan!$Y$9:$AA$551,3),"")</f>
        <v>0</v>
      </c>
      <c r="Z221" s="12">
        <f t="shared" si="144"/>
        <v>0</v>
      </c>
      <c r="AA221" s="12" t="str">
        <f t="shared" ca="1" si="145"/>
        <v/>
      </c>
      <c r="AB221" s="46" t="str">
        <f t="shared" ca="1" si="146"/>
        <v/>
      </c>
      <c r="AC221" s="46" t="str">
        <f t="shared" ca="1" si="147"/>
        <v/>
      </c>
      <c r="AD221" s="47"/>
      <c r="AE221" s="12">
        <f>IF(AF221=0,VLOOKUP(X221,Kontenplan!$Z$9:$AB$551,3),"")</f>
        <v>0</v>
      </c>
      <c r="AF221" s="47">
        <f t="shared" si="148"/>
        <v>0</v>
      </c>
      <c r="AG221" s="12" t="str">
        <f t="shared" ca="1" si="149"/>
        <v/>
      </c>
      <c r="AH221" s="46" t="str">
        <f t="shared" ca="1" si="150"/>
        <v/>
      </c>
      <c r="AI221" s="46" t="str">
        <f t="shared" ca="1" si="151"/>
        <v/>
      </c>
      <c r="AJ221" s="46"/>
      <c r="AK221" s="147">
        <f t="shared" ca="1" si="152"/>
        <v>2.0205000000000433</v>
      </c>
      <c r="AL221" s="147">
        <f t="shared" si="153"/>
        <v>2.0208000000000439</v>
      </c>
      <c r="AM221" s="12" t="str">
        <f>IF(V221&lt;=AO$3,VLOOKUP(V221,Kontenplan!$A$9:$D$278,4),"")</f>
        <v/>
      </c>
      <c r="AN221" s="12">
        <f t="shared" si="154"/>
        <v>0</v>
      </c>
      <c r="AO221" s="12" t="str">
        <f t="shared" ca="1" si="155"/>
        <v/>
      </c>
      <c r="AP221" s="46" t="str">
        <f t="shared" ca="1" si="156"/>
        <v/>
      </c>
      <c r="AQ221" s="46" t="str">
        <f t="shared" ca="1" si="157"/>
        <v/>
      </c>
      <c r="AR221" s="46"/>
      <c r="AS221" s="147">
        <f t="shared" ca="1" si="158"/>
        <v>3.0204000000000431</v>
      </c>
      <c r="AT221" s="147">
        <f t="shared" si="159"/>
        <v>2.0209000000000441</v>
      </c>
      <c r="AU221" s="47" t="str">
        <f>IF(V221&lt;=AW$3,VLOOKUP(AO$3+V221,Kontenplan!$A$9:$D$278,4),"")</f>
        <v/>
      </c>
      <c r="AV221" s="12">
        <f t="shared" si="160"/>
        <v>0</v>
      </c>
      <c r="AW221" s="12" t="str">
        <f t="shared" ca="1" si="161"/>
        <v/>
      </c>
      <c r="AX221" s="46" t="str">
        <f t="shared" ca="1" si="129"/>
        <v/>
      </c>
      <c r="AY221" s="46" t="str">
        <f t="shared" ca="1" si="162"/>
        <v/>
      </c>
      <c r="BA221" s="12">
        <f>Kontenplan!R223</f>
        <v>3</v>
      </c>
      <c r="BB221" s="12">
        <f>Kontenplan!S223</f>
        <v>2</v>
      </c>
      <c r="BC221" s="12">
        <f>Kontenplan!T223</f>
        <v>4</v>
      </c>
      <c r="BD221" s="170">
        <f>Kontenplan!U223</f>
        <v>4</v>
      </c>
      <c r="BF221" s="24">
        <f ca="1">SUM(AP$7:AP221)</f>
        <v>0</v>
      </c>
      <c r="BG221" s="46">
        <f ca="1">SUM(AQ$7:AQ220)</f>
        <v>0</v>
      </c>
      <c r="BH221" s="24">
        <f t="shared" ca="1" si="163"/>
        <v>0</v>
      </c>
      <c r="BI221" s="24"/>
      <c r="BJ221" s="24">
        <f ca="1">SUM(AX$7:AX221)</f>
        <v>0</v>
      </c>
      <c r="BK221" s="24">
        <f ca="1">SUM(AY$7:AY220)</f>
        <v>0</v>
      </c>
      <c r="BL221" s="24">
        <f t="shared" ca="1" si="164"/>
        <v>0</v>
      </c>
      <c r="BN221" s="24">
        <f ca="1">SUM(AB$7:AB221)</f>
        <v>0</v>
      </c>
      <c r="BO221" s="46">
        <f ca="1">SUM(AC$7:AC220)</f>
        <v>0</v>
      </c>
      <c r="BP221" s="24">
        <f t="shared" ca="1" si="165"/>
        <v>0</v>
      </c>
      <c r="BR221" s="24">
        <f ca="1">SUM(AH$7:AH221)</f>
        <v>0</v>
      </c>
      <c r="BS221" s="46">
        <f ca="1">SUM(AI$7:AI220)</f>
        <v>0</v>
      </c>
      <c r="BT221" s="24">
        <f t="shared" ca="1" si="166"/>
        <v>0</v>
      </c>
    </row>
    <row r="222" spans="1:72" s="12" customFormat="1">
      <c r="A222" s="202">
        <f>Kontenplan!C224</f>
        <v>0</v>
      </c>
      <c r="B222" s="224">
        <f>Kontenplan!E224</f>
        <v>0</v>
      </c>
      <c r="C222" s="225">
        <f>Kontenplan!F224</f>
        <v>0</v>
      </c>
      <c r="D222" s="43">
        <f>IF(B222=0,0,SUMIF(Journal!$F$7:$F$83,Calc!B222,Journal!$I$7:$I$83))</f>
        <v>0</v>
      </c>
      <c r="E222" s="15">
        <f>IF(B222=0,0,SUMIF(Journal!$G$7:$M296,Calc!B222,Journal!$I$7:$I$83))</f>
        <v>0</v>
      </c>
      <c r="F222" s="44">
        <f t="shared" si="130"/>
        <v>0</v>
      </c>
      <c r="G222" s="15">
        <f t="shared" si="131"/>
        <v>0</v>
      </c>
      <c r="H222" s="14" t="str">
        <f t="shared" si="132"/>
        <v xml:space="preserve"> </v>
      </c>
      <c r="I222" s="43" t="str">
        <f t="shared" si="133"/>
        <v xml:space="preserve"> </v>
      </c>
      <c r="J222" s="45" t="str">
        <f t="shared" si="134"/>
        <v xml:space="preserve"> </v>
      </c>
      <c r="K222" s="48" t="str">
        <f t="shared" si="135"/>
        <v xml:space="preserve"> </v>
      </c>
      <c r="L222" s="45" t="str">
        <f t="shared" si="136"/>
        <v xml:space="preserve"> </v>
      </c>
      <c r="M222" s="48" t="str">
        <f t="shared" si="137"/>
        <v xml:space="preserve"> </v>
      </c>
      <c r="N222" s="24"/>
      <c r="O222" s="12">
        <f t="shared" si="138"/>
        <v>10.041199999999904</v>
      </c>
      <c r="P222" s="12">
        <f t="shared" si="139"/>
        <v>9.0393999999999082</v>
      </c>
      <c r="Q222" s="12">
        <f t="shared" si="140"/>
        <v>31.033199999999923</v>
      </c>
      <c r="R222" s="12">
        <f t="shared" si="141"/>
        <v>29.027399999999936</v>
      </c>
      <c r="S222" s="12">
        <f t="shared" si="142"/>
        <v>0</v>
      </c>
      <c r="T222" s="12">
        <f t="shared" si="143"/>
        <v>0</v>
      </c>
      <c r="U222" s="43">
        <f>IF(OR(A222=Kontenplan!$C$3,A222=Kontenplan!$C$5),F222-G222,G222-F222)</f>
        <v>0</v>
      </c>
      <c r="V222" s="171">
        <f t="shared" si="126"/>
        <v>216</v>
      </c>
      <c r="W222" s="12">
        <f t="shared" si="127"/>
        <v>189</v>
      </c>
      <c r="X222" s="12">
        <f t="shared" si="128"/>
        <v>191</v>
      </c>
      <c r="Y222" s="12">
        <f>IF(Z222=0,VLOOKUP(W222,Kontenplan!$Y$9:$AA$551,3),"")</f>
        <v>0</v>
      </c>
      <c r="Z222" s="12">
        <f t="shared" si="144"/>
        <v>0</v>
      </c>
      <c r="AA222" s="12" t="str">
        <f t="shared" ca="1" si="145"/>
        <v/>
      </c>
      <c r="AB222" s="46" t="str">
        <f t="shared" ca="1" si="146"/>
        <v/>
      </c>
      <c r="AC222" s="46" t="str">
        <f t="shared" ca="1" si="147"/>
        <v/>
      </c>
      <c r="AD222" s="47"/>
      <c r="AE222" s="12">
        <f>IF(AF222=0,VLOOKUP(X222,Kontenplan!$Z$9:$AB$551,3),"")</f>
        <v>0</v>
      </c>
      <c r="AF222" s="47">
        <f t="shared" si="148"/>
        <v>0</v>
      </c>
      <c r="AG222" s="12" t="str">
        <f t="shared" ca="1" si="149"/>
        <v/>
      </c>
      <c r="AH222" s="46" t="str">
        <f t="shared" ca="1" si="150"/>
        <v/>
      </c>
      <c r="AI222" s="46" t="str">
        <f t="shared" ca="1" si="151"/>
        <v/>
      </c>
      <c r="AJ222" s="46"/>
      <c r="AK222" s="147">
        <f t="shared" ca="1" si="152"/>
        <v>2.0206000000000435</v>
      </c>
      <c r="AL222" s="147">
        <f t="shared" si="153"/>
        <v>2.0209000000000441</v>
      </c>
      <c r="AM222" s="12" t="str">
        <f>IF(V222&lt;=AO$3,VLOOKUP(V222,Kontenplan!$A$9:$D$278,4),"")</f>
        <v/>
      </c>
      <c r="AN222" s="12">
        <f t="shared" si="154"/>
        <v>0</v>
      </c>
      <c r="AO222" s="12" t="str">
        <f t="shared" ca="1" si="155"/>
        <v/>
      </c>
      <c r="AP222" s="46" t="str">
        <f t="shared" ca="1" si="156"/>
        <v/>
      </c>
      <c r="AQ222" s="46" t="str">
        <f t="shared" ca="1" si="157"/>
        <v/>
      </c>
      <c r="AR222" s="46"/>
      <c r="AS222" s="147">
        <f t="shared" ca="1" si="158"/>
        <v>3.0205000000000433</v>
      </c>
      <c r="AT222" s="147">
        <f t="shared" si="159"/>
        <v>2.0210000000000443</v>
      </c>
      <c r="AU222" s="47" t="str">
        <f>IF(V222&lt;=AW$3,VLOOKUP(AO$3+V222,Kontenplan!$A$9:$D$278,4),"")</f>
        <v/>
      </c>
      <c r="AV222" s="12">
        <f t="shared" si="160"/>
        <v>0</v>
      </c>
      <c r="AW222" s="12" t="str">
        <f t="shared" ca="1" si="161"/>
        <v/>
      </c>
      <c r="AX222" s="46" t="str">
        <f t="shared" ca="1" si="129"/>
        <v/>
      </c>
      <c r="AY222" s="46" t="str">
        <f t="shared" ca="1" si="162"/>
        <v/>
      </c>
      <c r="BA222" s="12">
        <f>Kontenplan!R224</f>
        <v>3</v>
      </c>
      <c r="BB222" s="12">
        <f>Kontenplan!S224</f>
        <v>2</v>
      </c>
      <c r="BC222" s="12">
        <f>Kontenplan!T224</f>
        <v>4</v>
      </c>
      <c r="BD222" s="170">
        <f>Kontenplan!U224</f>
        <v>4</v>
      </c>
      <c r="BF222" s="24">
        <f ca="1">SUM(AP$7:AP222)</f>
        <v>0</v>
      </c>
      <c r="BG222" s="46">
        <f ca="1">SUM(AQ$7:AQ221)</f>
        <v>0</v>
      </c>
      <c r="BH222" s="24">
        <f t="shared" ca="1" si="163"/>
        <v>0</v>
      </c>
      <c r="BI222" s="24"/>
      <c r="BJ222" s="24">
        <f ca="1">SUM(AX$7:AX222)</f>
        <v>0</v>
      </c>
      <c r="BK222" s="24">
        <f ca="1">SUM(AY$7:AY221)</f>
        <v>0</v>
      </c>
      <c r="BL222" s="24">
        <f t="shared" ca="1" si="164"/>
        <v>0</v>
      </c>
      <c r="BN222" s="24">
        <f ca="1">SUM(AB$7:AB222)</f>
        <v>0</v>
      </c>
      <c r="BO222" s="46">
        <f ca="1">SUM(AC$7:AC221)</f>
        <v>0</v>
      </c>
      <c r="BP222" s="24">
        <f t="shared" ca="1" si="165"/>
        <v>0</v>
      </c>
      <c r="BR222" s="24">
        <f ca="1">SUM(AH$7:AH222)</f>
        <v>0</v>
      </c>
      <c r="BS222" s="46">
        <f ca="1">SUM(AI$7:AI221)</f>
        <v>0</v>
      </c>
      <c r="BT222" s="24">
        <f t="shared" ca="1" si="166"/>
        <v>0</v>
      </c>
    </row>
    <row r="223" spans="1:72" s="12" customFormat="1">
      <c r="A223" s="202">
        <f>Kontenplan!C225</f>
        <v>0</v>
      </c>
      <c r="B223" s="224">
        <f>Kontenplan!E225</f>
        <v>0</v>
      </c>
      <c r="C223" s="225">
        <f>Kontenplan!F225</f>
        <v>0</v>
      </c>
      <c r="D223" s="43">
        <f>IF(B223=0,0,SUMIF(Journal!$F$7:$F$83,Calc!B223,Journal!$I$7:$I$83))</f>
        <v>0</v>
      </c>
      <c r="E223" s="15">
        <f>IF(B223=0,0,SUMIF(Journal!$G$7:$M297,Calc!B223,Journal!$I$7:$I$83))</f>
        <v>0</v>
      </c>
      <c r="F223" s="44">
        <f t="shared" si="130"/>
        <v>0</v>
      </c>
      <c r="G223" s="15">
        <f t="shared" si="131"/>
        <v>0</v>
      </c>
      <c r="H223" s="14" t="str">
        <f t="shared" si="132"/>
        <v xml:space="preserve"> </v>
      </c>
      <c r="I223" s="43" t="str">
        <f t="shared" si="133"/>
        <v xml:space="preserve"> </v>
      </c>
      <c r="J223" s="45" t="str">
        <f t="shared" si="134"/>
        <v xml:space="preserve"> </v>
      </c>
      <c r="K223" s="48" t="str">
        <f t="shared" si="135"/>
        <v xml:space="preserve"> </v>
      </c>
      <c r="L223" s="45" t="str">
        <f t="shared" si="136"/>
        <v xml:space="preserve"> </v>
      </c>
      <c r="M223" s="48" t="str">
        <f t="shared" si="137"/>
        <v xml:space="preserve"> </v>
      </c>
      <c r="N223" s="24"/>
      <c r="O223" s="12">
        <f t="shared" si="138"/>
        <v>10.041399999999904</v>
      </c>
      <c r="P223" s="12">
        <f t="shared" si="139"/>
        <v>9.0395999999999077</v>
      </c>
      <c r="Q223" s="12">
        <f t="shared" si="140"/>
        <v>31.033399999999922</v>
      </c>
      <c r="R223" s="12">
        <f t="shared" si="141"/>
        <v>29.027599999999936</v>
      </c>
      <c r="S223" s="12">
        <f t="shared" si="142"/>
        <v>0</v>
      </c>
      <c r="T223" s="12">
        <f t="shared" si="143"/>
        <v>0</v>
      </c>
      <c r="U223" s="43">
        <f>IF(OR(A223=Kontenplan!$C$3,A223=Kontenplan!$C$5),F223-G223,G223-F223)</f>
        <v>0</v>
      </c>
      <c r="V223" s="171">
        <f t="shared" si="126"/>
        <v>217</v>
      </c>
      <c r="W223" s="12">
        <f t="shared" si="127"/>
        <v>190</v>
      </c>
      <c r="X223" s="12">
        <f t="shared" si="128"/>
        <v>192</v>
      </c>
      <c r="Y223" s="12">
        <f>IF(Z223=0,VLOOKUP(W223,Kontenplan!$Y$9:$AA$551,3),"")</f>
        <v>0</v>
      </c>
      <c r="Z223" s="12">
        <f t="shared" si="144"/>
        <v>0</v>
      </c>
      <c r="AA223" s="12" t="str">
        <f t="shared" ca="1" si="145"/>
        <v/>
      </c>
      <c r="AB223" s="46" t="str">
        <f t="shared" ca="1" si="146"/>
        <v/>
      </c>
      <c r="AC223" s="46" t="str">
        <f t="shared" ca="1" si="147"/>
        <v/>
      </c>
      <c r="AD223" s="47"/>
      <c r="AE223" s="12">
        <f>IF(AF223=0,VLOOKUP(X223,Kontenplan!$Z$9:$AB$551,3),"")</f>
        <v>0</v>
      </c>
      <c r="AF223" s="47">
        <f t="shared" si="148"/>
        <v>0</v>
      </c>
      <c r="AG223" s="12" t="str">
        <f t="shared" ca="1" si="149"/>
        <v/>
      </c>
      <c r="AH223" s="46" t="str">
        <f t="shared" ca="1" si="150"/>
        <v/>
      </c>
      <c r="AI223" s="46" t="str">
        <f t="shared" ca="1" si="151"/>
        <v/>
      </c>
      <c r="AJ223" s="46"/>
      <c r="AK223" s="147">
        <f t="shared" ca="1" si="152"/>
        <v>2.0207000000000437</v>
      </c>
      <c r="AL223" s="147">
        <f t="shared" si="153"/>
        <v>2.0210000000000443</v>
      </c>
      <c r="AM223" s="12" t="str">
        <f>IF(V223&lt;=AO$3,VLOOKUP(V223,Kontenplan!$A$9:$D$278,4),"")</f>
        <v/>
      </c>
      <c r="AN223" s="12">
        <f t="shared" si="154"/>
        <v>0</v>
      </c>
      <c r="AO223" s="12" t="str">
        <f t="shared" ca="1" si="155"/>
        <v/>
      </c>
      <c r="AP223" s="46" t="str">
        <f t="shared" ca="1" si="156"/>
        <v/>
      </c>
      <c r="AQ223" s="46" t="str">
        <f t="shared" ca="1" si="157"/>
        <v/>
      </c>
      <c r="AR223" s="46"/>
      <c r="AS223" s="147">
        <f t="shared" ca="1" si="158"/>
        <v>3.0206000000000435</v>
      </c>
      <c r="AT223" s="147">
        <f t="shared" si="159"/>
        <v>2.0211000000000445</v>
      </c>
      <c r="AU223" s="47" t="str">
        <f>IF(V223&lt;=AW$3,VLOOKUP(AO$3+V223,Kontenplan!$A$9:$D$278,4),"")</f>
        <v/>
      </c>
      <c r="AV223" s="12">
        <f t="shared" si="160"/>
        <v>0</v>
      </c>
      <c r="AW223" s="12" t="str">
        <f t="shared" ca="1" si="161"/>
        <v/>
      </c>
      <c r="AX223" s="46" t="str">
        <f t="shared" ca="1" si="129"/>
        <v/>
      </c>
      <c r="AY223" s="46" t="str">
        <f t="shared" ca="1" si="162"/>
        <v/>
      </c>
      <c r="BA223" s="12">
        <f>Kontenplan!R225</f>
        <v>3</v>
      </c>
      <c r="BB223" s="12">
        <f>Kontenplan!S225</f>
        <v>2</v>
      </c>
      <c r="BC223" s="12">
        <f>Kontenplan!T225</f>
        <v>4</v>
      </c>
      <c r="BD223" s="170">
        <f>Kontenplan!U225</f>
        <v>4</v>
      </c>
      <c r="BF223" s="24">
        <f ca="1">SUM(AP$7:AP223)</f>
        <v>0</v>
      </c>
      <c r="BG223" s="46">
        <f ca="1">SUM(AQ$7:AQ222)</f>
        <v>0</v>
      </c>
      <c r="BH223" s="24">
        <f t="shared" ca="1" si="163"/>
        <v>0</v>
      </c>
      <c r="BI223" s="24"/>
      <c r="BJ223" s="24">
        <f ca="1">SUM(AX$7:AX223)</f>
        <v>0</v>
      </c>
      <c r="BK223" s="24">
        <f ca="1">SUM(AY$7:AY222)</f>
        <v>0</v>
      </c>
      <c r="BL223" s="24">
        <f t="shared" ca="1" si="164"/>
        <v>0</v>
      </c>
      <c r="BN223" s="24">
        <f ca="1">SUM(AB$7:AB223)</f>
        <v>0</v>
      </c>
      <c r="BO223" s="46">
        <f ca="1">SUM(AC$7:AC222)</f>
        <v>0</v>
      </c>
      <c r="BP223" s="24">
        <f t="shared" ca="1" si="165"/>
        <v>0</v>
      </c>
      <c r="BR223" s="24">
        <f ca="1">SUM(AH$7:AH223)</f>
        <v>0</v>
      </c>
      <c r="BS223" s="46">
        <f ca="1">SUM(AI$7:AI222)</f>
        <v>0</v>
      </c>
      <c r="BT223" s="24">
        <f t="shared" ca="1" si="166"/>
        <v>0</v>
      </c>
    </row>
    <row r="224" spans="1:72" s="12" customFormat="1">
      <c r="A224" s="202">
        <f>Kontenplan!C226</f>
        <v>0</v>
      </c>
      <c r="B224" s="224">
        <f>Kontenplan!E226</f>
        <v>0</v>
      </c>
      <c r="C224" s="225">
        <f>Kontenplan!F226</f>
        <v>0</v>
      </c>
      <c r="D224" s="43">
        <f>IF(B224=0,0,SUMIF(Journal!$F$7:$F$83,Calc!B224,Journal!$I$7:$I$83))</f>
        <v>0</v>
      </c>
      <c r="E224" s="15">
        <f>IF(B224=0,0,SUMIF(Journal!$G$7:$M298,Calc!B224,Journal!$I$7:$I$83))</f>
        <v>0</v>
      </c>
      <c r="F224" s="44">
        <f t="shared" si="130"/>
        <v>0</v>
      </c>
      <c r="G224" s="15">
        <f t="shared" si="131"/>
        <v>0</v>
      </c>
      <c r="H224" s="14" t="str">
        <f t="shared" si="132"/>
        <v xml:space="preserve"> </v>
      </c>
      <c r="I224" s="43" t="str">
        <f t="shared" si="133"/>
        <v xml:space="preserve"> </v>
      </c>
      <c r="J224" s="45" t="str">
        <f t="shared" si="134"/>
        <v xml:space="preserve"> </v>
      </c>
      <c r="K224" s="48" t="str">
        <f t="shared" si="135"/>
        <v xml:space="preserve"> </v>
      </c>
      <c r="L224" s="45" t="str">
        <f t="shared" si="136"/>
        <v xml:space="preserve"> </v>
      </c>
      <c r="M224" s="48" t="str">
        <f t="shared" si="137"/>
        <v xml:space="preserve"> </v>
      </c>
      <c r="N224" s="24"/>
      <c r="O224" s="12">
        <f t="shared" si="138"/>
        <v>10.041599999999903</v>
      </c>
      <c r="P224" s="12">
        <f t="shared" si="139"/>
        <v>9.0397999999999072</v>
      </c>
      <c r="Q224" s="12">
        <f t="shared" si="140"/>
        <v>31.033599999999922</v>
      </c>
      <c r="R224" s="12">
        <f t="shared" si="141"/>
        <v>29.027799999999935</v>
      </c>
      <c r="S224" s="12">
        <f t="shared" si="142"/>
        <v>0</v>
      </c>
      <c r="T224" s="12">
        <f t="shared" si="143"/>
        <v>0</v>
      </c>
      <c r="U224" s="43">
        <f>IF(OR(A224=Kontenplan!$C$3,A224=Kontenplan!$C$5),F224-G224,G224-F224)</f>
        <v>0</v>
      </c>
      <c r="V224" s="171">
        <f t="shared" si="126"/>
        <v>218</v>
      </c>
      <c r="W224" s="12">
        <f t="shared" si="127"/>
        <v>191</v>
      </c>
      <c r="X224" s="12">
        <f t="shared" si="128"/>
        <v>193</v>
      </c>
      <c r="Y224" s="12">
        <f>IF(Z224=0,VLOOKUP(W224,Kontenplan!$Y$9:$AA$551,3),"")</f>
        <v>0</v>
      </c>
      <c r="Z224" s="12">
        <f t="shared" si="144"/>
        <v>0</v>
      </c>
      <c r="AA224" s="12" t="str">
        <f t="shared" ca="1" si="145"/>
        <v/>
      </c>
      <c r="AB224" s="46" t="str">
        <f t="shared" ca="1" si="146"/>
        <v/>
      </c>
      <c r="AC224" s="46" t="str">
        <f t="shared" ca="1" si="147"/>
        <v/>
      </c>
      <c r="AD224" s="47"/>
      <c r="AE224" s="12">
        <f>IF(AF224=0,VLOOKUP(X224,Kontenplan!$Z$9:$AB$551,3),"")</f>
        <v>0</v>
      </c>
      <c r="AF224" s="47">
        <f t="shared" si="148"/>
        <v>0</v>
      </c>
      <c r="AG224" s="12" t="str">
        <f t="shared" ca="1" si="149"/>
        <v/>
      </c>
      <c r="AH224" s="46" t="str">
        <f t="shared" ca="1" si="150"/>
        <v/>
      </c>
      <c r="AI224" s="46" t="str">
        <f t="shared" ca="1" si="151"/>
        <v/>
      </c>
      <c r="AJ224" s="46"/>
      <c r="AK224" s="147">
        <f t="shared" ca="1" si="152"/>
        <v>2.0208000000000439</v>
      </c>
      <c r="AL224" s="147">
        <f t="shared" si="153"/>
        <v>2.0211000000000445</v>
      </c>
      <c r="AM224" s="12" t="str">
        <f>IF(V224&lt;=AO$3,VLOOKUP(V224,Kontenplan!$A$9:$D$278,4),"")</f>
        <v/>
      </c>
      <c r="AN224" s="12">
        <f t="shared" si="154"/>
        <v>0</v>
      </c>
      <c r="AO224" s="12" t="str">
        <f t="shared" ca="1" si="155"/>
        <v/>
      </c>
      <c r="AP224" s="46" t="str">
        <f t="shared" ca="1" si="156"/>
        <v/>
      </c>
      <c r="AQ224" s="46" t="str">
        <f t="shared" ca="1" si="157"/>
        <v/>
      </c>
      <c r="AR224" s="46"/>
      <c r="AS224" s="147">
        <f t="shared" ca="1" si="158"/>
        <v>3.0207000000000437</v>
      </c>
      <c r="AT224" s="147">
        <f t="shared" si="159"/>
        <v>2.0212000000000447</v>
      </c>
      <c r="AU224" s="47" t="str">
        <f>IF(V224&lt;=AW$3,VLOOKUP(AO$3+V224,Kontenplan!$A$9:$D$278,4),"")</f>
        <v/>
      </c>
      <c r="AV224" s="12">
        <f t="shared" si="160"/>
        <v>0</v>
      </c>
      <c r="AW224" s="12" t="str">
        <f t="shared" ca="1" si="161"/>
        <v/>
      </c>
      <c r="AX224" s="46" t="str">
        <f t="shared" ca="1" si="129"/>
        <v/>
      </c>
      <c r="AY224" s="46" t="str">
        <f t="shared" ca="1" si="162"/>
        <v/>
      </c>
      <c r="BA224" s="12">
        <f>Kontenplan!R226</f>
        <v>3</v>
      </c>
      <c r="BB224" s="12">
        <f>Kontenplan!S226</f>
        <v>2</v>
      </c>
      <c r="BC224" s="12">
        <f>Kontenplan!T226</f>
        <v>4</v>
      </c>
      <c r="BD224" s="170">
        <f>Kontenplan!U226</f>
        <v>4</v>
      </c>
      <c r="BF224" s="24">
        <f ca="1">SUM(AP$7:AP224)</f>
        <v>0</v>
      </c>
      <c r="BG224" s="46">
        <f ca="1">SUM(AQ$7:AQ223)</f>
        <v>0</v>
      </c>
      <c r="BH224" s="24">
        <f t="shared" ca="1" si="163"/>
        <v>0</v>
      </c>
      <c r="BI224" s="24"/>
      <c r="BJ224" s="24">
        <f ca="1">SUM(AX$7:AX224)</f>
        <v>0</v>
      </c>
      <c r="BK224" s="24">
        <f ca="1">SUM(AY$7:AY223)</f>
        <v>0</v>
      </c>
      <c r="BL224" s="24">
        <f t="shared" ca="1" si="164"/>
        <v>0</v>
      </c>
      <c r="BN224" s="24">
        <f ca="1">SUM(AB$7:AB224)</f>
        <v>0</v>
      </c>
      <c r="BO224" s="46">
        <f ca="1">SUM(AC$7:AC223)</f>
        <v>0</v>
      </c>
      <c r="BP224" s="24">
        <f t="shared" ca="1" si="165"/>
        <v>0</v>
      </c>
      <c r="BR224" s="24">
        <f ca="1">SUM(AH$7:AH224)</f>
        <v>0</v>
      </c>
      <c r="BS224" s="46">
        <f ca="1">SUM(AI$7:AI223)</f>
        <v>0</v>
      </c>
      <c r="BT224" s="24">
        <f t="shared" ca="1" si="166"/>
        <v>0</v>
      </c>
    </row>
    <row r="225" spans="1:72">
      <c r="A225" s="202">
        <f>Kontenplan!C227</f>
        <v>0</v>
      </c>
      <c r="B225" s="224">
        <f>Kontenplan!E227</f>
        <v>0</v>
      </c>
      <c r="C225" s="225">
        <f>Kontenplan!F227</f>
        <v>0</v>
      </c>
      <c r="D225" s="43">
        <f>IF(B225=0,0,SUMIF(Journal!$F$7:$F$83,Calc!B225,Journal!$I$7:$I$83))</f>
        <v>0</v>
      </c>
      <c r="E225" s="15">
        <f>IF(B225=0,0,SUMIF(Journal!$G$7:$M299,Calc!B225,Journal!$I$7:$I$83))</f>
        <v>0</v>
      </c>
      <c r="F225" s="44">
        <f t="shared" si="130"/>
        <v>0</v>
      </c>
      <c r="G225" s="15">
        <f t="shared" si="131"/>
        <v>0</v>
      </c>
      <c r="H225" s="14" t="str">
        <f t="shared" si="132"/>
        <v xml:space="preserve"> </v>
      </c>
      <c r="I225" s="43" t="str">
        <f t="shared" si="133"/>
        <v xml:space="preserve"> </v>
      </c>
      <c r="J225" s="45" t="str">
        <f t="shared" si="134"/>
        <v xml:space="preserve"> </v>
      </c>
      <c r="K225" s="48" t="str">
        <f t="shared" si="135"/>
        <v xml:space="preserve"> </v>
      </c>
      <c r="L225" s="45" t="str">
        <f t="shared" si="136"/>
        <v xml:space="preserve"> </v>
      </c>
      <c r="M225" s="48" t="str">
        <f t="shared" si="137"/>
        <v xml:space="preserve"> </v>
      </c>
      <c r="N225" s="24"/>
      <c r="O225" s="12">
        <f t="shared" si="138"/>
        <v>10.041799999999903</v>
      </c>
      <c r="P225" s="12">
        <f t="shared" si="139"/>
        <v>9.0399999999999068</v>
      </c>
      <c r="Q225" s="12">
        <f t="shared" si="140"/>
        <v>31.033799999999921</v>
      </c>
      <c r="R225" s="12">
        <f t="shared" si="141"/>
        <v>29.027999999999935</v>
      </c>
      <c r="S225" s="12">
        <f t="shared" si="142"/>
        <v>0</v>
      </c>
      <c r="T225" s="12">
        <f t="shared" si="143"/>
        <v>0</v>
      </c>
      <c r="U225" s="43">
        <f>IF(OR(A225=Kontenplan!$C$3,A225=Kontenplan!$C$5),F225-G225,G225-F225)</f>
        <v>0</v>
      </c>
      <c r="V225" s="171">
        <f t="shared" si="126"/>
        <v>219</v>
      </c>
      <c r="W225" s="12">
        <f t="shared" si="127"/>
        <v>192</v>
      </c>
      <c r="X225" s="12">
        <f t="shared" si="128"/>
        <v>194</v>
      </c>
      <c r="Y225" s="12">
        <f>IF(Z225=0,VLOOKUP(W225,Kontenplan!$Y$9:$AA$551,3),"")</f>
        <v>0</v>
      </c>
      <c r="Z225" s="12">
        <f t="shared" si="144"/>
        <v>0</v>
      </c>
      <c r="AA225" s="12" t="str">
        <f t="shared" ca="1" si="145"/>
        <v/>
      </c>
      <c r="AB225" s="46" t="str">
        <f t="shared" ca="1" si="146"/>
        <v/>
      </c>
      <c r="AC225" s="46" t="str">
        <f t="shared" ca="1" si="147"/>
        <v/>
      </c>
      <c r="AD225" s="47"/>
      <c r="AE225" s="12">
        <f>IF(AF225=0,VLOOKUP(X225,Kontenplan!$Z$9:$AB$551,3),"")</f>
        <v>0</v>
      </c>
      <c r="AF225" s="47">
        <f t="shared" si="148"/>
        <v>0</v>
      </c>
      <c r="AG225" s="12" t="str">
        <f t="shared" ca="1" si="149"/>
        <v/>
      </c>
      <c r="AH225" s="46" t="str">
        <f t="shared" ca="1" si="150"/>
        <v/>
      </c>
      <c r="AI225" s="46" t="str">
        <f t="shared" ca="1" si="151"/>
        <v/>
      </c>
      <c r="AJ225" s="46"/>
      <c r="AK225" s="147">
        <f t="shared" ca="1" si="152"/>
        <v>2.0209000000000441</v>
      </c>
      <c r="AL225" s="147">
        <f t="shared" si="153"/>
        <v>2.0212000000000447</v>
      </c>
      <c r="AM225" s="12" t="str">
        <f>IF(V225&lt;=AO$3,VLOOKUP(V225,Kontenplan!$A$9:$D$278,4),"")</f>
        <v/>
      </c>
      <c r="AN225" s="12">
        <f t="shared" si="154"/>
        <v>0</v>
      </c>
      <c r="AO225" s="12" t="str">
        <f t="shared" ca="1" si="155"/>
        <v/>
      </c>
      <c r="AP225" s="46" t="str">
        <f t="shared" ca="1" si="156"/>
        <v/>
      </c>
      <c r="AQ225" s="46" t="str">
        <f t="shared" ca="1" si="157"/>
        <v/>
      </c>
      <c r="AR225" s="46"/>
      <c r="AS225" s="147">
        <f t="shared" ca="1" si="158"/>
        <v>3.0208000000000439</v>
      </c>
      <c r="AT225" s="147">
        <f t="shared" si="159"/>
        <v>2.0213000000000449</v>
      </c>
      <c r="AU225" s="47" t="str">
        <f>IF(V225&lt;=AW$3,VLOOKUP(AO$3+V225,Kontenplan!$A$9:$D$278,4),"")</f>
        <v/>
      </c>
      <c r="AV225" s="12">
        <f t="shared" si="160"/>
        <v>0</v>
      </c>
      <c r="AW225" s="12" t="str">
        <f t="shared" ca="1" si="161"/>
        <v/>
      </c>
      <c r="AX225" s="46" t="str">
        <f t="shared" ca="1" si="129"/>
        <v/>
      </c>
      <c r="AY225" s="46" t="str">
        <f t="shared" ca="1" si="162"/>
        <v/>
      </c>
      <c r="AZ225" s="12"/>
      <c r="BA225" s="12">
        <f>Kontenplan!R227</f>
        <v>3</v>
      </c>
      <c r="BB225" s="12">
        <f>Kontenplan!S227</f>
        <v>2</v>
      </c>
      <c r="BC225" s="12">
        <f>Kontenplan!T227</f>
        <v>4</v>
      </c>
      <c r="BD225" s="170">
        <f>Kontenplan!U227</f>
        <v>4</v>
      </c>
      <c r="BE225" s="12"/>
      <c r="BF225" s="24">
        <f ca="1">SUM(AP$7:AP225)</f>
        <v>0</v>
      </c>
      <c r="BG225" s="46">
        <f ca="1">SUM(AQ$7:AQ224)</f>
        <v>0</v>
      </c>
      <c r="BH225" s="24">
        <f t="shared" ca="1" si="163"/>
        <v>0</v>
      </c>
      <c r="BI225" s="24"/>
      <c r="BJ225" s="24">
        <f ca="1">SUM(AX$7:AX225)</f>
        <v>0</v>
      </c>
      <c r="BK225" s="24">
        <f ca="1">SUM(AY$7:AY224)</f>
        <v>0</v>
      </c>
      <c r="BL225" s="24">
        <f t="shared" ca="1" si="164"/>
        <v>0</v>
      </c>
      <c r="BM225" s="12"/>
      <c r="BN225" s="24">
        <f ca="1">SUM(AB$7:AB225)</f>
        <v>0</v>
      </c>
      <c r="BO225" s="46">
        <f ca="1">SUM(AC$7:AC224)</f>
        <v>0</v>
      </c>
      <c r="BP225" s="24">
        <f t="shared" ca="1" si="165"/>
        <v>0</v>
      </c>
      <c r="BQ225" s="12"/>
      <c r="BR225" s="24">
        <f ca="1">SUM(AH$7:AH225)</f>
        <v>0</v>
      </c>
      <c r="BS225" s="46">
        <f ca="1">SUM(AI$7:AI224)</f>
        <v>0</v>
      </c>
      <c r="BT225" s="24">
        <f t="shared" ca="1" si="166"/>
        <v>0</v>
      </c>
    </row>
    <row r="226" spans="1:72">
      <c r="A226" s="202">
        <f>Kontenplan!C228</f>
        <v>0</v>
      </c>
      <c r="B226" s="224">
        <f>Kontenplan!E228</f>
        <v>0</v>
      </c>
      <c r="C226" s="225">
        <f>Kontenplan!F228</f>
        <v>0</v>
      </c>
      <c r="D226" s="43">
        <f>IF(B226=0,0,SUMIF(Journal!$F$7:$F$83,Calc!B226,Journal!$I$7:$I$83))</f>
        <v>0</v>
      </c>
      <c r="E226" s="15">
        <f>IF(B226=0,0,SUMIF(Journal!$G$7:$M300,Calc!B226,Journal!$I$7:$I$83))</f>
        <v>0</v>
      </c>
      <c r="F226" s="44">
        <f t="shared" si="130"/>
        <v>0</v>
      </c>
      <c r="G226" s="15">
        <f t="shared" si="131"/>
        <v>0</v>
      </c>
      <c r="H226" s="14" t="str">
        <f t="shared" si="132"/>
        <v xml:space="preserve"> </v>
      </c>
      <c r="I226" s="43" t="str">
        <f t="shared" si="133"/>
        <v xml:space="preserve"> </v>
      </c>
      <c r="J226" s="45" t="str">
        <f t="shared" si="134"/>
        <v xml:space="preserve"> </v>
      </c>
      <c r="K226" s="48" t="str">
        <f t="shared" si="135"/>
        <v xml:space="preserve"> </v>
      </c>
      <c r="L226" s="45" t="str">
        <f t="shared" si="136"/>
        <v xml:space="preserve"> </v>
      </c>
      <c r="M226" s="48" t="str">
        <f t="shared" si="137"/>
        <v xml:space="preserve"> </v>
      </c>
      <c r="N226" s="24"/>
      <c r="O226" s="12">
        <f t="shared" si="138"/>
        <v>10.041999999999902</v>
      </c>
      <c r="P226" s="12">
        <f t="shared" si="139"/>
        <v>9.0401999999999063</v>
      </c>
      <c r="Q226" s="12">
        <f t="shared" si="140"/>
        <v>31.033999999999921</v>
      </c>
      <c r="R226" s="12">
        <f t="shared" si="141"/>
        <v>29.028199999999934</v>
      </c>
      <c r="S226" s="12">
        <f t="shared" si="142"/>
        <v>0</v>
      </c>
      <c r="T226" s="12">
        <f t="shared" si="143"/>
        <v>0</v>
      </c>
      <c r="U226" s="43">
        <f>IF(OR(A226=Kontenplan!$C$3,A226=Kontenplan!$C$5),F226-G226,G226-F226)</f>
        <v>0</v>
      </c>
      <c r="V226" s="171">
        <f t="shared" si="126"/>
        <v>220</v>
      </c>
      <c r="W226" s="12">
        <f t="shared" si="127"/>
        <v>193</v>
      </c>
      <c r="X226" s="12">
        <f t="shared" si="128"/>
        <v>195</v>
      </c>
      <c r="Y226" s="12">
        <f>IF(Z226=0,VLOOKUP(W226,Kontenplan!$Y$9:$AA$551,3),"")</f>
        <v>0</v>
      </c>
      <c r="Z226" s="12">
        <f t="shared" si="144"/>
        <v>0</v>
      </c>
      <c r="AA226" s="12" t="str">
        <f t="shared" ca="1" si="145"/>
        <v/>
      </c>
      <c r="AB226" s="46" t="str">
        <f t="shared" ca="1" si="146"/>
        <v/>
      </c>
      <c r="AC226" s="46" t="str">
        <f t="shared" ca="1" si="147"/>
        <v/>
      </c>
      <c r="AD226" s="47"/>
      <c r="AE226" s="12">
        <f>IF(AF226=0,VLOOKUP(X226,Kontenplan!$Z$9:$AB$551,3),"")</f>
        <v>0</v>
      </c>
      <c r="AF226" s="47">
        <f t="shared" si="148"/>
        <v>0</v>
      </c>
      <c r="AG226" s="12" t="str">
        <f t="shared" ca="1" si="149"/>
        <v/>
      </c>
      <c r="AH226" s="46" t="str">
        <f t="shared" ca="1" si="150"/>
        <v/>
      </c>
      <c r="AI226" s="46" t="str">
        <f t="shared" ca="1" si="151"/>
        <v/>
      </c>
      <c r="AJ226" s="46"/>
      <c r="AK226" s="147">
        <f t="shared" ca="1" si="152"/>
        <v>2.0210000000000443</v>
      </c>
      <c r="AL226" s="147">
        <f t="shared" si="153"/>
        <v>2.0213000000000449</v>
      </c>
      <c r="AM226" s="12" t="str">
        <f>IF(V226&lt;=AO$3,VLOOKUP(V226,Kontenplan!$A$9:$D$278,4),"")</f>
        <v/>
      </c>
      <c r="AN226" s="12">
        <f t="shared" si="154"/>
        <v>0</v>
      </c>
      <c r="AO226" s="12" t="str">
        <f t="shared" ca="1" si="155"/>
        <v/>
      </c>
      <c r="AP226" s="46" t="str">
        <f t="shared" ca="1" si="156"/>
        <v/>
      </c>
      <c r="AQ226" s="46" t="str">
        <f t="shared" ca="1" si="157"/>
        <v/>
      </c>
      <c r="AR226" s="46"/>
      <c r="AS226" s="147">
        <f t="shared" ca="1" si="158"/>
        <v>3.0209000000000441</v>
      </c>
      <c r="AT226" s="147">
        <f t="shared" si="159"/>
        <v>2.0214000000000452</v>
      </c>
      <c r="AU226" s="47" t="str">
        <f>IF(V226&lt;=AW$3,VLOOKUP(AO$3+V226,Kontenplan!$A$9:$D$278,4),"")</f>
        <v/>
      </c>
      <c r="AV226" s="12">
        <f t="shared" si="160"/>
        <v>0</v>
      </c>
      <c r="AW226" s="12" t="str">
        <f t="shared" ca="1" si="161"/>
        <v/>
      </c>
      <c r="AX226" s="46" t="str">
        <f t="shared" ca="1" si="129"/>
        <v/>
      </c>
      <c r="AY226" s="46" t="str">
        <f t="shared" ca="1" si="162"/>
        <v/>
      </c>
      <c r="AZ226" s="12"/>
      <c r="BA226" s="12">
        <f>Kontenplan!R228</f>
        <v>3</v>
      </c>
      <c r="BB226" s="12">
        <f>Kontenplan!S228</f>
        <v>2</v>
      </c>
      <c r="BC226" s="12">
        <f>Kontenplan!T228</f>
        <v>4</v>
      </c>
      <c r="BD226" s="170">
        <f>Kontenplan!U228</f>
        <v>4</v>
      </c>
      <c r="BE226" s="12"/>
      <c r="BF226" s="24">
        <f ca="1">SUM(AP$7:AP226)</f>
        <v>0</v>
      </c>
      <c r="BG226" s="46">
        <f ca="1">SUM(AQ$7:AQ225)</f>
        <v>0</v>
      </c>
      <c r="BH226" s="24">
        <f t="shared" ca="1" si="163"/>
        <v>0</v>
      </c>
      <c r="BI226" s="24"/>
      <c r="BJ226" s="24">
        <f ca="1">SUM(AX$7:AX226)</f>
        <v>0</v>
      </c>
      <c r="BK226" s="24">
        <f ca="1">SUM(AY$7:AY225)</f>
        <v>0</v>
      </c>
      <c r="BL226" s="24">
        <f t="shared" ca="1" si="164"/>
        <v>0</v>
      </c>
      <c r="BM226" s="12"/>
      <c r="BN226" s="24">
        <f ca="1">SUM(AB$7:AB226)</f>
        <v>0</v>
      </c>
      <c r="BO226" s="46">
        <f ca="1">SUM(AC$7:AC225)</f>
        <v>0</v>
      </c>
      <c r="BP226" s="24">
        <f t="shared" ca="1" si="165"/>
        <v>0</v>
      </c>
      <c r="BQ226" s="12"/>
      <c r="BR226" s="24">
        <f ca="1">SUM(AH$7:AH226)</f>
        <v>0</v>
      </c>
      <c r="BS226" s="46">
        <f ca="1">SUM(AI$7:AI225)</f>
        <v>0</v>
      </c>
      <c r="BT226" s="24">
        <f t="shared" ca="1" si="166"/>
        <v>0</v>
      </c>
    </row>
    <row r="227" spans="1:72">
      <c r="A227" s="202">
        <f>Kontenplan!C229</f>
        <v>0</v>
      </c>
      <c r="B227" s="224">
        <f>Kontenplan!E229</f>
        <v>0</v>
      </c>
      <c r="C227" s="225">
        <f>Kontenplan!F229</f>
        <v>0</v>
      </c>
      <c r="D227" s="43">
        <f>IF(B227=0,0,SUMIF(Journal!$F$7:$F$83,Calc!B227,Journal!$I$7:$I$83))</f>
        <v>0</v>
      </c>
      <c r="E227" s="15">
        <f>IF(B227=0,0,SUMIF(Journal!$G$7:$M301,Calc!B227,Journal!$I$7:$I$83))</f>
        <v>0</v>
      </c>
      <c r="F227" s="44">
        <f t="shared" si="130"/>
        <v>0</v>
      </c>
      <c r="G227" s="15">
        <f t="shared" si="131"/>
        <v>0</v>
      </c>
      <c r="H227" s="14" t="str">
        <f t="shared" si="132"/>
        <v xml:space="preserve"> </v>
      </c>
      <c r="I227" s="43" t="str">
        <f t="shared" si="133"/>
        <v xml:space="preserve"> </v>
      </c>
      <c r="J227" s="45" t="str">
        <f t="shared" si="134"/>
        <v xml:space="preserve"> </v>
      </c>
      <c r="K227" s="48" t="str">
        <f t="shared" si="135"/>
        <v xml:space="preserve"> </v>
      </c>
      <c r="L227" s="45" t="str">
        <f t="shared" si="136"/>
        <v xml:space="preserve"> </v>
      </c>
      <c r="M227" s="48" t="str">
        <f t="shared" si="137"/>
        <v xml:space="preserve"> </v>
      </c>
      <c r="N227" s="24"/>
      <c r="O227" s="12">
        <f t="shared" si="138"/>
        <v>10.042199999999902</v>
      </c>
      <c r="P227" s="12">
        <f t="shared" si="139"/>
        <v>9.0403999999999058</v>
      </c>
      <c r="Q227" s="12">
        <f t="shared" si="140"/>
        <v>31.03419999999992</v>
      </c>
      <c r="R227" s="12">
        <f t="shared" si="141"/>
        <v>29.028399999999934</v>
      </c>
      <c r="S227" s="12">
        <f t="shared" si="142"/>
        <v>0</v>
      </c>
      <c r="T227" s="12">
        <f t="shared" si="143"/>
        <v>0</v>
      </c>
      <c r="U227" s="43">
        <f>IF(OR(A227=Kontenplan!$C$3,A227=Kontenplan!$C$5),F227-G227,G227-F227)</f>
        <v>0</v>
      </c>
      <c r="V227" s="171">
        <f t="shared" si="126"/>
        <v>221</v>
      </c>
      <c r="W227" s="12">
        <f t="shared" si="127"/>
        <v>194</v>
      </c>
      <c r="X227" s="12">
        <f t="shared" si="128"/>
        <v>196</v>
      </c>
      <c r="Y227" s="12">
        <f>IF(Z227=0,VLOOKUP(W227,Kontenplan!$Y$9:$AA$551,3),"")</f>
        <v>0</v>
      </c>
      <c r="Z227" s="12">
        <f t="shared" si="144"/>
        <v>0</v>
      </c>
      <c r="AA227" s="12" t="str">
        <f t="shared" ca="1" si="145"/>
        <v/>
      </c>
      <c r="AB227" s="46" t="str">
        <f t="shared" ca="1" si="146"/>
        <v/>
      </c>
      <c r="AC227" s="46" t="str">
        <f t="shared" ca="1" si="147"/>
        <v/>
      </c>
      <c r="AD227" s="47"/>
      <c r="AE227" s="12">
        <f>IF(AF227=0,VLOOKUP(X227,Kontenplan!$Z$9:$AB$551,3),"")</f>
        <v>0</v>
      </c>
      <c r="AF227" s="47">
        <f t="shared" si="148"/>
        <v>0</v>
      </c>
      <c r="AG227" s="12" t="str">
        <f t="shared" ca="1" si="149"/>
        <v/>
      </c>
      <c r="AH227" s="46" t="str">
        <f t="shared" ca="1" si="150"/>
        <v/>
      </c>
      <c r="AI227" s="46" t="str">
        <f t="shared" ca="1" si="151"/>
        <v/>
      </c>
      <c r="AJ227" s="46"/>
      <c r="AK227" s="147">
        <f t="shared" ca="1" si="152"/>
        <v>2.0211000000000445</v>
      </c>
      <c r="AL227" s="147">
        <f t="shared" si="153"/>
        <v>2.0214000000000452</v>
      </c>
      <c r="AM227" s="12" t="str">
        <f>IF(V227&lt;=AO$3,VLOOKUP(V227,Kontenplan!$A$9:$D$278,4),"")</f>
        <v/>
      </c>
      <c r="AN227" s="12">
        <f t="shared" si="154"/>
        <v>0</v>
      </c>
      <c r="AO227" s="12" t="str">
        <f t="shared" ca="1" si="155"/>
        <v/>
      </c>
      <c r="AP227" s="46" t="str">
        <f t="shared" ca="1" si="156"/>
        <v/>
      </c>
      <c r="AQ227" s="46" t="str">
        <f t="shared" ca="1" si="157"/>
        <v/>
      </c>
      <c r="AR227" s="46"/>
      <c r="AS227" s="147">
        <f t="shared" ca="1" si="158"/>
        <v>3.0210000000000443</v>
      </c>
      <c r="AT227" s="147">
        <f t="shared" si="159"/>
        <v>2.0215000000000454</v>
      </c>
      <c r="AU227" s="47" t="str">
        <f>IF(V227&lt;=AW$3,VLOOKUP(AO$3+V227,Kontenplan!$A$9:$D$278,4),"")</f>
        <v/>
      </c>
      <c r="AV227" s="12">
        <f t="shared" si="160"/>
        <v>0</v>
      </c>
      <c r="AW227" s="12" t="str">
        <f t="shared" ca="1" si="161"/>
        <v/>
      </c>
      <c r="AX227" s="46" t="str">
        <f t="shared" ca="1" si="129"/>
        <v/>
      </c>
      <c r="AY227" s="46" t="str">
        <f t="shared" ca="1" si="162"/>
        <v/>
      </c>
      <c r="AZ227" s="12"/>
      <c r="BA227" s="12">
        <f>Kontenplan!R229</f>
        <v>3</v>
      </c>
      <c r="BB227" s="12">
        <f>Kontenplan!S229</f>
        <v>2</v>
      </c>
      <c r="BC227" s="12">
        <f>Kontenplan!T229</f>
        <v>4</v>
      </c>
      <c r="BD227" s="170">
        <f>Kontenplan!U229</f>
        <v>4</v>
      </c>
      <c r="BE227" s="12"/>
      <c r="BF227" s="24">
        <f ca="1">SUM(AP$7:AP227)</f>
        <v>0</v>
      </c>
      <c r="BG227" s="46">
        <f ca="1">SUM(AQ$7:AQ226)</f>
        <v>0</v>
      </c>
      <c r="BH227" s="24">
        <f t="shared" ca="1" si="163"/>
        <v>0</v>
      </c>
      <c r="BI227" s="24"/>
      <c r="BJ227" s="24">
        <f ca="1">SUM(AX$7:AX227)</f>
        <v>0</v>
      </c>
      <c r="BK227" s="24">
        <f ca="1">SUM(AY$7:AY226)</f>
        <v>0</v>
      </c>
      <c r="BL227" s="24">
        <f t="shared" ca="1" si="164"/>
        <v>0</v>
      </c>
      <c r="BM227" s="12"/>
      <c r="BN227" s="24">
        <f ca="1">SUM(AB$7:AB227)</f>
        <v>0</v>
      </c>
      <c r="BO227" s="46">
        <f ca="1">SUM(AC$7:AC226)</f>
        <v>0</v>
      </c>
      <c r="BP227" s="24">
        <f t="shared" ca="1" si="165"/>
        <v>0</v>
      </c>
      <c r="BQ227" s="12"/>
      <c r="BR227" s="24">
        <f ca="1">SUM(AH$7:AH227)</f>
        <v>0</v>
      </c>
      <c r="BS227" s="46">
        <f ca="1">SUM(AI$7:AI226)</f>
        <v>0</v>
      </c>
      <c r="BT227" s="24">
        <f t="shared" ca="1" si="166"/>
        <v>0</v>
      </c>
    </row>
    <row r="228" spans="1:72">
      <c r="A228" s="202">
        <f>Kontenplan!C230</f>
        <v>0</v>
      </c>
      <c r="B228" s="224">
        <f>Kontenplan!E230</f>
        <v>0</v>
      </c>
      <c r="C228" s="225">
        <f>Kontenplan!F230</f>
        <v>0</v>
      </c>
      <c r="D228" s="43">
        <f>IF(B228=0,0,SUMIF(Journal!$F$7:$F$83,Calc!B228,Journal!$I$7:$I$83))</f>
        <v>0</v>
      </c>
      <c r="E228" s="15">
        <f>IF(B228=0,0,SUMIF(Journal!$G$7:$M302,Calc!B228,Journal!$I$7:$I$83))</f>
        <v>0</v>
      </c>
      <c r="F228" s="44">
        <f t="shared" si="130"/>
        <v>0</v>
      </c>
      <c r="G228" s="15">
        <f t="shared" si="131"/>
        <v>0</v>
      </c>
      <c r="H228" s="14" t="str">
        <f t="shared" si="132"/>
        <v xml:space="preserve"> </v>
      </c>
      <c r="I228" s="43" t="str">
        <f t="shared" si="133"/>
        <v xml:space="preserve"> </v>
      </c>
      <c r="J228" s="45" t="str">
        <f t="shared" si="134"/>
        <v xml:space="preserve"> </v>
      </c>
      <c r="K228" s="48" t="str">
        <f t="shared" si="135"/>
        <v xml:space="preserve"> </v>
      </c>
      <c r="L228" s="45" t="str">
        <f t="shared" si="136"/>
        <v xml:space="preserve"> </v>
      </c>
      <c r="M228" s="48" t="str">
        <f t="shared" si="137"/>
        <v xml:space="preserve"> </v>
      </c>
      <c r="N228" s="24"/>
      <c r="O228" s="12">
        <f t="shared" si="138"/>
        <v>10.042399999999901</v>
      </c>
      <c r="P228" s="12">
        <f t="shared" si="139"/>
        <v>9.0405999999999054</v>
      </c>
      <c r="Q228" s="12">
        <f t="shared" si="140"/>
        <v>31.03439999999992</v>
      </c>
      <c r="R228" s="12">
        <f t="shared" si="141"/>
        <v>29.028599999999933</v>
      </c>
      <c r="S228" s="12">
        <f t="shared" si="142"/>
        <v>0</v>
      </c>
      <c r="T228" s="12">
        <f t="shared" si="143"/>
        <v>0</v>
      </c>
      <c r="U228" s="43">
        <f>IF(OR(A228=Kontenplan!$C$3,A228=Kontenplan!$C$5),F228-G228,G228-F228)</f>
        <v>0</v>
      </c>
      <c r="V228" s="171">
        <f t="shared" si="126"/>
        <v>222</v>
      </c>
      <c r="W228" s="12">
        <f t="shared" si="127"/>
        <v>195</v>
      </c>
      <c r="X228" s="12">
        <f t="shared" si="128"/>
        <v>197</v>
      </c>
      <c r="Y228" s="12">
        <f>IF(Z228=0,VLOOKUP(W228,Kontenplan!$Y$9:$AA$551,3),"")</f>
        <v>0</v>
      </c>
      <c r="Z228" s="12">
        <f t="shared" si="144"/>
        <v>0</v>
      </c>
      <c r="AA228" s="12" t="str">
        <f t="shared" ca="1" si="145"/>
        <v/>
      </c>
      <c r="AB228" s="46" t="str">
        <f t="shared" ca="1" si="146"/>
        <v/>
      </c>
      <c r="AC228" s="46" t="str">
        <f t="shared" ca="1" si="147"/>
        <v/>
      </c>
      <c r="AD228" s="47"/>
      <c r="AE228" s="12">
        <f>IF(AF228=0,VLOOKUP(X228,Kontenplan!$Z$9:$AB$551,3),"")</f>
        <v>0</v>
      </c>
      <c r="AF228" s="47">
        <f t="shared" si="148"/>
        <v>0</v>
      </c>
      <c r="AG228" s="12" t="str">
        <f t="shared" ca="1" si="149"/>
        <v/>
      </c>
      <c r="AH228" s="46" t="str">
        <f t="shared" ca="1" si="150"/>
        <v/>
      </c>
      <c r="AI228" s="46" t="str">
        <f t="shared" ca="1" si="151"/>
        <v/>
      </c>
      <c r="AJ228" s="46"/>
      <c r="AK228" s="147">
        <f t="shared" ca="1" si="152"/>
        <v>2.0212000000000447</v>
      </c>
      <c r="AL228" s="147">
        <f t="shared" si="153"/>
        <v>2.0215000000000454</v>
      </c>
      <c r="AM228" s="12" t="str">
        <f>IF(V228&lt;=AO$3,VLOOKUP(V228,Kontenplan!$A$9:$D$278,4),"")</f>
        <v/>
      </c>
      <c r="AN228" s="12">
        <f t="shared" si="154"/>
        <v>0</v>
      </c>
      <c r="AO228" s="12" t="str">
        <f t="shared" ca="1" si="155"/>
        <v/>
      </c>
      <c r="AP228" s="46" t="str">
        <f t="shared" ca="1" si="156"/>
        <v/>
      </c>
      <c r="AQ228" s="46" t="str">
        <f t="shared" ca="1" si="157"/>
        <v/>
      </c>
      <c r="AR228" s="46"/>
      <c r="AS228" s="147">
        <f t="shared" ca="1" si="158"/>
        <v>3.0211000000000445</v>
      </c>
      <c r="AT228" s="147">
        <f t="shared" si="159"/>
        <v>2.0216000000000456</v>
      </c>
      <c r="AU228" s="47" t="str">
        <f>IF(V228&lt;=AW$3,VLOOKUP(AO$3+V228,Kontenplan!$A$9:$D$278,4),"")</f>
        <v/>
      </c>
      <c r="AV228" s="12">
        <f t="shared" si="160"/>
        <v>0</v>
      </c>
      <c r="AW228" s="12" t="str">
        <f t="shared" ca="1" si="161"/>
        <v/>
      </c>
      <c r="AX228" s="46" t="str">
        <f t="shared" ca="1" si="129"/>
        <v/>
      </c>
      <c r="AY228" s="46" t="str">
        <f t="shared" ca="1" si="162"/>
        <v/>
      </c>
      <c r="AZ228" s="12"/>
      <c r="BA228" s="12">
        <f>Kontenplan!R230</f>
        <v>3</v>
      </c>
      <c r="BB228" s="12">
        <f>Kontenplan!S230</f>
        <v>2</v>
      </c>
      <c r="BC228" s="12">
        <f>Kontenplan!T230</f>
        <v>4</v>
      </c>
      <c r="BD228" s="170">
        <f>Kontenplan!U230</f>
        <v>4</v>
      </c>
      <c r="BE228" s="12"/>
      <c r="BF228" s="24">
        <f ca="1">SUM(AP$7:AP228)</f>
        <v>0</v>
      </c>
      <c r="BG228" s="46">
        <f ca="1">SUM(AQ$7:AQ227)</f>
        <v>0</v>
      </c>
      <c r="BH228" s="24">
        <f t="shared" ca="1" si="163"/>
        <v>0</v>
      </c>
      <c r="BI228" s="24"/>
      <c r="BJ228" s="24">
        <f ca="1">SUM(AX$7:AX228)</f>
        <v>0</v>
      </c>
      <c r="BK228" s="24">
        <f ca="1">SUM(AY$7:AY227)</f>
        <v>0</v>
      </c>
      <c r="BL228" s="24">
        <f t="shared" ca="1" si="164"/>
        <v>0</v>
      </c>
      <c r="BM228" s="12"/>
      <c r="BN228" s="24">
        <f ca="1">SUM(AB$7:AB228)</f>
        <v>0</v>
      </c>
      <c r="BO228" s="46">
        <f ca="1">SUM(AC$7:AC227)</f>
        <v>0</v>
      </c>
      <c r="BP228" s="24">
        <f t="shared" ca="1" si="165"/>
        <v>0</v>
      </c>
      <c r="BQ228" s="12"/>
      <c r="BR228" s="24">
        <f ca="1">SUM(AH$7:AH228)</f>
        <v>0</v>
      </c>
      <c r="BS228" s="46">
        <f ca="1">SUM(AI$7:AI227)</f>
        <v>0</v>
      </c>
      <c r="BT228" s="24">
        <f t="shared" ca="1" si="166"/>
        <v>0</v>
      </c>
    </row>
    <row r="229" spans="1:72">
      <c r="A229" s="202">
        <f>Kontenplan!C231</f>
        <v>0</v>
      </c>
      <c r="B229" s="224">
        <f>Kontenplan!E231</f>
        <v>0</v>
      </c>
      <c r="C229" s="225">
        <f>Kontenplan!F231</f>
        <v>0</v>
      </c>
      <c r="D229" s="43">
        <f>IF(B229=0,0,SUMIF(Journal!$F$7:$F$83,Calc!B229,Journal!$I$7:$I$83))</f>
        <v>0</v>
      </c>
      <c r="E229" s="15">
        <f>IF(B229=0,0,SUMIF(Journal!$G$7:$M303,Calc!B229,Journal!$I$7:$I$83))</f>
        <v>0</v>
      </c>
      <c r="F229" s="44">
        <f t="shared" si="130"/>
        <v>0</v>
      </c>
      <c r="G229" s="15">
        <f t="shared" si="131"/>
        <v>0</v>
      </c>
      <c r="H229" s="14" t="str">
        <f t="shared" si="132"/>
        <v xml:space="preserve"> </v>
      </c>
      <c r="I229" s="43" t="str">
        <f t="shared" si="133"/>
        <v xml:space="preserve"> </v>
      </c>
      <c r="J229" s="45" t="str">
        <f t="shared" si="134"/>
        <v xml:space="preserve"> </v>
      </c>
      <c r="K229" s="48" t="str">
        <f t="shared" si="135"/>
        <v xml:space="preserve"> </v>
      </c>
      <c r="L229" s="45" t="str">
        <f t="shared" si="136"/>
        <v xml:space="preserve"> </v>
      </c>
      <c r="M229" s="48" t="str">
        <f t="shared" si="137"/>
        <v xml:space="preserve"> </v>
      </c>
      <c r="N229" s="24"/>
      <c r="O229" s="12">
        <f t="shared" si="138"/>
        <v>10.042599999999901</v>
      </c>
      <c r="P229" s="12">
        <f t="shared" si="139"/>
        <v>9.0407999999999049</v>
      </c>
      <c r="Q229" s="12">
        <f t="shared" si="140"/>
        <v>31.034599999999919</v>
      </c>
      <c r="R229" s="12">
        <f t="shared" si="141"/>
        <v>29.028799999999933</v>
      </c>
      <c r="S229" s="12">
        <f t="shared" si="142"/>
        <v>0</v>
      </c>
      <c r="T229" s="12">
        <f t="shared" si="143"/>
        <v>0</v>
      </c>
      <c r="U229" s="43">
        <f>IF(OR(A229=Kontenplan!$C$3,A229=Kontenplan!$C$5),F229-G229,G229-F229)</f>
        <v>0</v>
      </c>
      <c r="V229" s="171">
        <f t="shared" si="126"/>
        <v>223</v>
      </c>
      <c r="W229" s="12">
        <f t="shared" si="127"/>
        <v>196</v>
      </c>
      <c r="X229" s="12">
        <f t="shared" si="128"/>
        <v>198</v>
      </c>
      <c r="Y229" s="12">
        <f>IF(Z229=0,VLOOKUP(W229,Kontenplan!$Y$9:$AA$551,3),"")</f>
        <v>0</v>
      </c>
      <c r="Z229" s="12">
        <f t="shared" si="144"/>
        <v>0</v>
      </c>
      <c r="AA229" s="12" t="str">
        <f t="shared" ca="1" si="145"/>
        <v/>
      </c>
      <c r="AB229" s="46" t="str">
        <f t="shared" ca="1" si="146"/>
        <v/>
      </c>
      <c r="AC229" s="46" t="str">
        <f t="shared" ca="1" si="147"/>
        <v/>
      </c>
      <c r="AD229" s="47"/>
      <c r="AE229" s="12">
        <f>IF(AF229=0,VLOOKUP(X229,Kontenplan!$Z$9:$AB$551,3),"")</f>
        <v>0</v>
      </c>
      <c r="AF229" s="47">
        <f t="shared" si="148"/>
        <v>0</v>
      </c>
      <c r="AG229" s="12" t="str">
        <f t="shared" ca="1" si="149"/>
        <v/>
      </c>
      <c r="AH229" s="46" t="str">
        <f t="shared" ca="1" si="150"/>
        <v/>
      </c>
      <c r="AI229" s="46" t="str">
        <f t="shared" ca="1" si="151"/>
        <v/>
      </c>
      <c r="AJ229" s="46"/>
      <c r="AK229" s="147">
        <f t="shared" ca="1" si="152"/>
        <v>2.0213000000000449</v>
      </c>
      <c r="AL229" s="147">
        <f t="shared" si="153"/>
        <v>2.0216000000000456</v>
      </c>
      <c r="AM229" s="12" t="str">
        <f>IF(V229&lt;=AO$3,VLOOKUP(V229,Kontenplan!$A$9:$D$278,4),"")</f>
        <v/>
      </c>
      <c r="AN229" s="12">
        <f t="shared" si="154"/>
        <v>0</v>
      </c>
      <c r="AO229" s="12" t="str">
        <f t="shared" ca="1" si="155"/>
        <v/>
      </c>
      <c r="AP229" s="46" t="str">
        <f t="shared" ca="1" si="156"/>
        <v/>
      </c>
      <c r="AQ229" s="46" t="str">
        <f t="shared" ca="1" si="157"/>
        <v/>
      </c>
      <c r="AR229" s="46"/>
      <c r="AS229" s="147">
        <f t="shared" ca="1" si="158"/>
        <v>3.0212000000000447</v>
      </c>
      <c r="AT229" s="147">
        <f t="shared" si="159"/>
        <v>2.0217000000000458</v>
      </c>
      <c r="AU229" s="47" t="str">
        <f>IF(V229&lt;=AW$3,VLOOKUP(AO$3+V229,Kontenplan!$A$9:$D$278,4),"")</f>
        <v/>
      </c>
      <c r="AV229" s="12">
        <f t="shared" si="160"/>
        <v>0</v>
      </c>
      <c r="AW229" s="12" t="str">
        <f t="shared" ca="1" si="161"/>
        <v/>
      </c>
      <c r="AX229" s="46" t="str">
        <f t="shared" ca="1" si="129"/>
        <v/>
      </c>
      <c r="AY229" s="46" t="str">
        <f t="shared" ca="1" si="162"/>
        <v/>
      </c>
      <c r="AZ229" s="12"/>
      <c r="BA229" s="12">
        <f>Kontenplan!R231</f>
        <v>3</v>
      </c>
      <c r="BB229" s="12">
        <f>Kontenplan!S231</f>
        <v>2</v>
      </c>
      <c r="BC229" s="12">
        <f>Kontenplan!T231</f>
        <v>4</v>
      </c>
      <c r="BD229" s="170">
        <f>Kontenplan!U231</f>
        <v>4</v>
      </c>
      <c r="BE229" s="12"/>
      <c r="BF229" s="24">
        <f ca="1">SUM(AP$7:AP229)</f>
        <v>0</v>
      </c>
      <c r="BG229" s="46">
        <f ca="1">SUM(AQ$7:AQ228)</f>
        <v>0</v>
      </c>
      <c r="BH229" s="24">
        <f t="shared" ca="1" si="163"/>
        <v>0</v>
      </c>
      <c r="BI229" s="24"/>
      <c r="BJ229" s="24">
        <f ca="1">SUM(AX$7:AX229)</f>
        <v>0</v>
      </c>
      <c r="BK229" s="24">
        <f ca="1">SUM(AY$7:AY228)</f>
        <v>0</v>
      </c>
      <c r="BL229" s="24">
        <f t="shared" ca="1" si="164"/>
        <v>0</v>
      </c>
      <c r="BM229" s="12"/>
      <c r="BN229" s="24">
        <f ca="1">SUM(AB$7:AB229)</f>
        <v>0</v>
      </c>
      <c r="BO229" s="46">
        <f ca="1">SUM(AC$7:AC228)</f>
        <v>0</v>
      </c>
      <c r="BP229" s="24">
        <f t="shared" ca="1" si="165"/>
        <v>0</v>
      </c>
      <c r="BQ229" s="12"/>
      <c r="BR229" s="24">
        <f ca="1">SUM(AH$7:AH229)</f>
        <v>0</v>
      </c>
      <c r="BS229" s="46">
        <f ca="1">SUM(AI$7:AI228)</f>
        <v>0</v>
      </c>
      <c r="BT229" s="24">
        <f t="shared" ca="1" si="166"/>
        <v>0</v>
      </c>
    </row>
    <row r="230" spans="1:72">
      <c r="A230" s="202">
        <f>Kontenplan!C232</f>
        <v>0</v>
      </c>
      <c r="B230" s="224">
        <f>Kontenplan!E232</f>
        <v>0</v>
      </c>
      <c r="C230" s="225">
        <f>Kontenplan!F232</f>
        <v>0</v>
      </c>
      <c r="D230" s="43">
        <f>IF(B230=0,0,SUMIF(Journal!$F$7:$F$83,Calc!B230,Journal!$I$7:$I$83))</f>
        <v>0</v>
      </c>
      <c r="E230" s="15">
        <f>IF(B230=0,0,SUMIF(Journal!$G$7:$M304,Calc!B230,Journal!$I$7:$I$83))</f>
        <v>0</v>
      </c>
      <c r="F230" s="44">
        <f t="shared" si="130"/>
        <v>0</v>
      </c>
      <c r="G230" s="15">
        <f t="shared" si="131"/>
        <v>0</v>
      </c>
      <c r="H230" s="14" t="str">
        <f t="shared" si="132"/>
        <v xml:space="preserve"> </v>
      </c>
      <c r="I230" s="43" t="str">
        <f t="shared" si="133"/>
        <v xml:space="preserve"> </v>
      </c>
      <c r="J230" s="45" t="str">
        <f t="shared" si="134"/>
        <v xml:space="preserve"> </v>
      </c>
      <c r="K230" s="48" t="str">
        <f t="shared" si="135"/>
        <v xml:space="preserve"> </v>
      </c>
      <c r="L230" s="45" t="str">
        <f t="shared" si="136"/>
        <v xml:space="preserve"> </v>
      </c>
      <c r="M230" s="48" t="str">
        <f t="shared" si="137"/>
        <v xml:space="preserve"> </v>
      </c>
      <c r="N230" s="24"/>
      <c r="O230" s="12">
        <f t="shared" si="138"/>
        <v>10.0427999999999</v>
      </c>
      <c r="P230" s="12">
        <f t="shared" si="139"/>
        <v>9.0409999999999044</v>
      </c>
      <c r="Q230" s="12">
        <f t="shared" si="140"/>
        <v>31.034799999999919</v>
      </c>
      <c r="R230" s="12">
        <f t="shared" si="141"/>
        <v>29.028999999999932</v>
      </c>
      <c r="S230" s="12">
        <f t="shared" si="142"/>
        <v>0</v>
      </c>
      <c r="T230" s="12">
        <f t="shared" si="143"/>
        <v>0</v>
      </c>
      <c r="U230" s="43">
        <f>IF(OR(A230=Kontenplan!$C$3,A230=Kontenplan!$C$5),F230-G230,G230-F230)</f>
        <v>0</v>
      </c>
      <c r="V230" s="171">
        <f t="shared" si="126"/>
        <v>224</v>
      </c>
      <c r="W230" s="12">
        <f t="shared" si="127"/>
        <v>197</v>
      </c>
      <c r="X230" s="12">
        <f t="shared" si="128"/>
        <v>199</v>
      </c>
      <c r="Y230" s="12">
        <f>IF(Z230=0,VLOOKUP(W230,Kontenplan!$Y$9:$AA$551,3),"")</f>
        <v>0</v>
      </c>
      <c r="Z230" s="12">
        <f t="shared" si="144"/>
        <v>0</v>
      </c>
      <c r="AA230" s="12" t="str">
        <f t="shared" ca="1" si="145"/>
        <v/>
      </c>
      <c r="AB230" s="46" t="str">
        <f t="shared" ca="1" si="146"/>
        <v/>
      </c>
      <c r="AC230" s="46" t="str">
        <f t="shared" ca="1" si="147"/>
        <v/>
      </c>
      <c r="AD230" s="47"/>
      <c r="AE230" s="12">
        <f>IF(AF230=0,VLOOKUP(X230,Kontenplan!$Z$9:$AB$551,3),"")</f>
        <v>0</v>
      </c>
      <c r="AF230" s="47">
        <f t="shared" si="148"/>
        <v>0</v>
      </c>
      <c r="AG230" s="12" t="str">
        <f t="shared" ca="1" si="149"/>
        <v/>
      </c>
      <c r="AH230" s="46" t="str">
        <f t="shared" ca="1" si="150"/>
        <v/>
      </c>
      <c r="AI230" s="46" t="str">
        <f t="shared" ca="1" si="151"/>
        <v/>
      </c>
      <c r="AJ230" s="46"/>
      <c r="AK230" s="147">
        <f t="shared" ca="1" si="152"/>
        <v>2.0214000000000452</v>
      </c>
      <c r="AL230" s="147">
        <f t="shared" si="153"/>
        <v>2.0217000000000458</v>
      </c>
      <c r="AM230" s="12" t="str">
        <f>IF(V230&lt;=AO$3,VLOOKUP(V230,Kontenplan!$A$9:$D$278,4),"")</f>
        <v/>
      </c>
      <c r="AN230" s="12">
        <f t="shared" si="154"/>
        <v>0</v>
      </c>
      <c r="AO230" s="12" t="str">
        <f t="shared" ca="1" si="155"/>
        <v/>
      </c>
      <c r="AP230" s="46" t="str">
        <f t="shared" ca="1" si="156"/>
        <v/>
      </c>
      <c r="AQ230" s="46" t="str">
        <f t="shared" ca="1" si="157"/>
        <v/>
      </c>
      <c r="AR230" s="46"/>
      <c r="AS230" s="147">
        <f t="shared" ca="1" si="158"/>
        <v>3.0213000000000449</v>
      </c>
      <c r="AT230" s="147">
        <f t="shared" si="159"/>
        <v>2.021800000000046</v>
      </c>
      <c r="AU230" s="47" t="str">
        <f>IF(V230&lt;=AW$3,VLOOKUP(AO$3+V230,Kontenplan!$A$9:$D$278,4),"")</f>
        <v/>
      </c>
      <c r="AV230" s="12">
        <f t="shared" si="160"/>
        <v>0</v>
      </c>
      <c r="AW230" s="12" t="str">
        <f t="shared" ca="1" si="161"/>
        <v/>
      </c>
      <c r="AX230" s="46" t="str">
        <f t="shared" ca="1" si="129"/>
        <v/>
      </c>
      <c r="AY230" s="46" t="str">
        <f t="shared" ca="1" si="162"/>
        <v/>
      </c>
      <c r="AZ230" s="12"/>
      <c r="BA230" s="12">
        <f>Kontenplan!R232</f>
        <v>3</v>
      </c>
      <c r="BB230" s="12">
        <f>Kontenplan!S232</f>
        <v>2</v>
      </c>
      <c r="BC230" s="12">
        <f>Kontenplan!T232</f>
        <v>4</v>
      </c>
      <c r="BD230" s="170">
        <f>Kontenplan!U232</f>
        <v>4</v>
      </c>
      <c r="BE230" s="12"/>
      <c r="BF230" s="24">
        <f ca="1">SUM(AP$7:AP230)</f>
        <v>0</v>
      </c>
      <c r="BG230" s="46">
        <f ca="1">SUM(AQ$7:AQ229)</f>
        <v>0</v>
      </c>
      <c r="BH230" s="24">
        <f t="shared" ca="1" si="163"/>
        <v>0</v>
      </c>
      <c r="BI230" s="24"/>
      <c r="BJ230" s="24">
        <f ca="1">SUM(AX$7:AX230)</f>
        <v>0</v>
      </c>
      <c r="BK230" s="24">
        <f ca="1">SUM(AY$7:AY229)</f>
        <v>0</v>
      </c>
      <c r="BL230" s="24">
        <f t="shared" ca="1" si="164"/>
        <v>0</v>
      </c>
      <c r="BM230" s="12"/>
      <c r="BN230" s="24">
        <f ca="1">SUM(AB$7:AB230)</f>
        <v>0</v>
      </c>
      <c r="BO230" s="46">
        <f ca="1">SUM(AC$7:AC229)</f>
        <v>0</v>
      </c>
      <c r="BP230" s="24">
        <f t="shared" ca="1" si="165"/>
        <v>0</v>
      </c>
      <c r="BQ230" s="12"/>
      <c r="BR230" s="24">
        <f ca="1">SUM(AH$7:AH230)</f>
        <v>0</v>
      </c>
      <c r="BS230" s="46">
        <f ca="1">SUM(AI$7:AI229)</f>
        <v>0</v>
      </c>
      <c r="BT230" s="24">
        <f t="shared" ca="1" si="166"/>
        <v>0</v>
      </c>
    </row>
    <row r="231" spans="1:72">
      <c r="A231" s="202">
        <f>Kontenplan!C233</f>
        <v>0</v>
      </c>
      <c r="B231" s="224">
        <f>Kontenplan!E233</f>
        <v>0</v>
      </c>
      <c r="C231" s="225">
        <f>Kontenplan!F233</f>
        <v>0</v>
      </c>
      <c r="D231" s="43">
        <f>IF(B231=0,0,SUMIF(Journal!$F$7:$F$83,Calc!B231,Journal!$I$7:$I$83))</f>
        <v>0</v>
      </c>
      <c r="E231" s="15">
        <f>IF(B231=0,0,SUMIF(Journal!$G$7:$M305,Calc!B231,Journal!$I$7:$I$83))</f>
        <v>0</v>
      </c>
      <c r="F231" s="44">
        <f t="shared" si="130"/>
        <v>0</v>
      </c>
      <c r="G231" s="15">
        <f t="shared" si="131"/>
        <v>0</v>
      </c>
      <c r="H231" s="14" t="str">
        <f t="shared" si="132"/>
        <v xml:space="preserve"> </v>
      </c>
      <c r="I231" s="43" t="str">
        <f t="shared" si="133"/>
        <v xml:space="preserve"> </v>
      </c>
      <c r="J231" s="45" t="str">
        <f t="shared" si="134"/>
        <v xml:space="preserve"> </v>
      </c>
      <c r="K231" s="48" t="str">
        <f t="shared" si="135"/>
        <v xml:space="preserve"> </v>
      </c>
      <c r="L231" s="45" t="str">
        <f t="shared" si="136"/>
        <v xml:space="preserve"> </v>
      </c>
      <c r="M231" s="48" t="str">
        <f t="shared" si="137"/>
        <v xml:space="preserve"> </v>
      </c>
      <c r="N231" s="24"/>
      <c r="O231" s="12">
        <f t="shared" si="138"/>
        <v>10.0429999999999</v>
      </c>
      <c r="P231" s="12">
        <f t="shared" si="139"/>
        <v>9.041199999999904</v>
      </c>
      <c r="Q231" s="12">
        <f t="shared" si="140"/>
        <v>31.034999999999918</v>
      </c>
      <c r="R231" s="12">
        <f t="shared" si="141"/>
        <v>29.029199999999932</v>
      </c>
      <c r="S231" s="12">
        <f t="shared" si="142"/>
        <v>0</v>
      </c>
      <c r="T231" s="12">
        <f t="shared" si="143"/>
        <v>0</v>
      </c>
      <c r="U231" s="43">
        <f>IF(OR(A231=Kontenplan!$C$3,A231=Kontenplan!$C$5),F231-G231,G231-F231)</f>
        <v>0</v>
      </c>
      <c r="V231" s="171">
        <f t="shared" si="126"/>
        <v>225</v>
      </c>
      <c r="W231" s="12">
        <f t="shared" si="127"/>
        <v>198</v>
      </c>
      <c r="X231" s="12">
        <f t="shared" si="128"/>
        <v>200</v>
      </c>
      <c r="Y231" s="12">
        <f>IF(Z231=0,VLOOKUP(W231,Kontenplan!$Y$9:$AA$551,3),"")</f>
        <v>0</v>
      </c>
      <c r="Z231" s="12">
        <f t="shared" si="144"/>
        <v>0</v>
      </c>
      <c r="AA231" s="12" t="str">
        <f t="shared" ca="1" si="145"/>
        <v/>
      </c>
      <c r="AB231" s="46" t="str">
        <f t="shared" ca="1" si="146"/>
        <v/>
      </c>
      <c r="AC231" s="46" t="str">
        <f t="shared" ca="1" si="147"/>
        <v/>
      </c>
      <c r="AD231" s="47"/>
      <c r="AE231" s="12">
        <f>IF(AF231=0,VLOOKUP(X231,Kontenplan!$Z$9:$AB$551,3),"")</f>
        <v>0</v>
      </c>
      <c r="AF231" s="47">
        <f t="shared" si="148"/>
        <v>0</v>
      </c>
      <c r="AG231" s="12" t="str">
        <f t="shared" ca="1" si="149"/>
        <v/>
      </c>
      <c r="AH231" s="46" t="str">
        <f t="shared" ca="1" si="150"/>
        <v/>
      </c>
      <c r="AI231" s="46" t="str">
        <f t="shared" ca="1" si="151"/>
        <v/>
      </c>
      <c r="AJ231" s="46"/>
      <c r="AK231" s="147">
        <f t="shared" ca="1" si="152"/>
        <v>2.0215000000000454</v>
      </c>
      <c r="AL231" s="147">
        <f t="shared" si="153"/>
        <v>2.021800000000046</v>
      </c>
      <c r="AM231" s="12" t="str">
        <f>IF(V231&lt;=AO$3,VLOOKUP(V231,Kontenplan!$A$9:$D$278,4),"")</f>
        <v/>
      </c>
      <c r="AN231" s="12">
        <f t="shared" si="154"/>
        <v>0</v>
      </c>
      <c r="AO231" s="12" t="str">
        <f t="shared" ca="1" si="155"/>
        <v/>
      </c>
      <c r="AP231" s="46" t="str">
        <f t="shared" ca="1" si="156"/>
        <v/>
      </c>
      <c r="AQ231" s="46" t="str">
        <f t="shared" ca="1" si="157"/>
        <v/>
      </c>
      <c r="AR231" s="46"/>
      <c r="AS231" s="147">
        <f t="shared" ca="1" si="158"/>
        <v>3.0214000000000452</v>
      </c>
      <c r="AT231" s="147">
        <f t="shared" si="159"/>
        <v>2.0219000000000462</v>
      </c>
      <c r="AU231" s="47" t="str">
        <f>IF(V231&lt;=AW$3,VLOOKUP(AO$3+V231,Kontenplan!$A$9:$D$278,4),"")</f>
        <v/>
      </c>
      <c r="AV231" s="12">
        <f t="shared" si="160"/>
        <v>0</v>
      </c>
      <c r="AW231" s="12" t="str">
        <f t="shared" ca="1" si="161"/>
        <v/>
      </c>
      <c r="AX231" s="46" t="str">
        <f t="shared" ca="1" si="129"/>
        <v/>
      </c>
      <c r="AY231" s="46" t="str">
        <f t="shared" ca="1" si="162"/>
        <v/>
      </c>
      <c r="AZ231" s="12"/>
      <c r="BA231" s="12">
        <f>Kontenplan!R233</f>
        <v>3</v>
      </c>
      <c r="BB231" s="12">
        <f>Kontenplan!S233</f>
        <v>2</v>
      </c>
      <c r="BC231" s="12">
        <f>Kontenplan!T233</f>
        <v>4</v>
      </c>
      <c r="BD231" s="170">
        <f>Kontenplan!U233</f>
        <v>4</v>
      </c>
      <c r="BE231" s="12"/>
      <c r="BF231" s="24">
        <f ca="1">SUM(AP$7:AP231)</f>
        <v>0</v>
      </c>
      <c r="BG231" s="46">
        <f ca="1">SUM(AQ$7:AQ230)</f>
        <v>0</v>
      </c>
      <c r="BH231" s="24">
        <f t="shared" ca="1" si="163"/>
        <v>0</v>
      </c>
      <c r="BI231" s="24"/>
      <c r="BJ231" s="24">
        <f ca="1">SUM(AX$7:AX231)</f>
        <v>0</v>
      </c>
      <c r="BK231" s="24">
        <f ca="1">SUM(AY$7:AY230)</f>
        <v>0</v>
      </c>
      <c r="BL231" s="24">
        <f t="shared" ca="1" si="164"/>
        <v>0</v>
      </c>
      <c r="BM231" s="12"/>
      <c r="BN231" s="24">
        <f ca="1">SUM(AB$7:AB231)</f>
        <v>0</v>
      </c>
      <c r="BO231" s="46">
        <f ca="1">SUM(AC$7:AC230)</f>
        <v>0</v>
      </c>
      <c r="BP231" s="24">
        <f t="shared" ca="1" si="165"/>
        <v>0</v>
      </c>
      <c r="BQ231" s="12"/>
      <c r="BR231" s="24">
        <f ca="1">SUM(AH$7:AH231)</f>
        <v>0</v>
      </c>
      <c r="BS231" s="46">
        <f ca="1">SUM(AI$7:AI230)</f>
        <v>0</v>
      </c>
      <c r="BT231" s="24">
        <f t="shared" ca="1" si="166"/>
        <v>0</v>
      </c>
    </row>
    <row r="232" spans="1:72">
      <c r="A232" s="202">
        <f>Kontenplan!C234</f>
        <v>0</v>
      </c>
      <c r="B232" s="224">
        <f>Kontenplan!E234</f>
        <v>0</v>
      </c>
      <c r="C232" s="225">
        <f>Kontenplan!F234</f>
        <v>0</v>
      </c>
      <c r="D232" s="43">
        <f>IF(B232=0,0,SUMIF(Journal!$F$7:$F$83,Calc!B232,Journal!$I$7:$I$83))</f>
        <v>0</v>
      </c>
      <c r="E232" s="15">
        <f>IF(B232=0,0,SUMIF(Journal!$G$7:$M306,Calc!B232,Journal!$I$7:$I$83))</f>
        <v>0</v>
      </c>
      <c r="F232" s="44">
        <f t="shared" si="130"/>
        <v>0</v>
      </c>
      <c r="G232" s="15">
        <f t="shared" si="131"/>
        <v>0</v>
      </c>
      <c r="H232" s="14" t="str">
        <f t="shared" si="132"/>
        <v xml:space="preserve"> </v>
      </c>
      <c r="I232" s="43" t="str">
        <f t="shared" si="133"/>
        <v xml:space="preserve"> </v>
      </c>
      <c r="J232" s="45" t="str">
        <f t="shared" si="134"/>
        <v xml:space="preserve"> </v>
      </c>
      <c r="K232" s="48" t="str">
        <f t="shared" si="135"/>
        <v xml:space="preserve"> </v>
      </c>
      <c r="L232" s="45" t="str">
        <f t="shared" si="136"/>
        <v xml:space="preserve"> </v>
      </c>
      <c r="M232" s="48" t="str">
        <f t="shared" si="137"/>
        <v xml:space="preserve"> </v>
      </c>
      <c r="N232" s="24"/>
      <c r="O232" s="12">
        <f t="shared" si="138"/>
        <v>10.043199999999899</v>
      </c>
      <c r="P232" s="12">
        <f t="shared" si="139"/>
        <v>9.0413999999999035</v>
      </c>
      <c r="Q232" s="12">
        <f t="shared" si="140"/>
        <v>31.035199999999918</v>
      </c>
      <c r="R232" s="12">
        <f t="shared" si="141"/>
        <v>29.029399999999931</v>
      </c>
      <c r="S232" s="12">
        <f t="shared" si="142"/>
        <v>0</v>
      </c>
      <c r="T232" s="12">
        <f t="shared" si="143"/>
        <v>0</v>
      </c>
      <c r="U232" s="43">
        <f>IF(OR(A232=Kontenplan!$C$3,A232=Kontenplan!$C$5),F232-G232,G232-F232)</f>
        <v>0</v>
      </c>
      <c r="V232" s="171">
        <f t="shared" si="126"/>
        <v>226</v>
      </c>
      <c r="W232" s="12">
        <f t="shared" si="127"/>
        <v>199</v>
      </c>
      <c r="X232" s="12">
        <f t="shared" si="128"/>
        <v>201</v>
      </c>
      <c r="Y232" s="12">
        <f>IF(Z232=0,VLOOKUP(W232,Kontenplan!$Y$9:$AA$551,3),"")</f>
        <v>0</v>
      </c>
      <c r="Z232" s="12">
        <f t="shared" si="144"/>
        <v>0</v>
      </c>
      <c r="AA232" s="12" t="str">
        <f t="shared" ca="1" si="145"/>
        <v/>
      </c>
      <c r="AB232" s="46" t="str">
        <f t="shared" ca="1" si="146"/>
        <v/>
      </c>
      <c r="AC232" s="46" t="str">
        <f t="shared" ca="1" si="147"/>
        <v/>
      </c>
      <c r="AD232" s="47"/>
      <c r="AE232" s="12">
        <f>IF(AF232=0,VLOOKUP(X232,Kontenplan!$Z$9:$AB$551,3),"")</f>
        <v>0</v>
      </c>
      <c r="AF232" s="47">
        <f t="shared" si="148"/>
        <v>0</v>
      </c>
      <c r="AG232" s="12" t="str">
        <f t="shared" ca="1" si="149"/>
        <v/>
      </c>
      <c r="AH232" s="46" t="str">
        <f t="shared" ca="1" si="150"/>
        <v/>
      </c>
      <c r="AI232" s="46" t="str">
        <f t="shared" ca="1" si="151"/>
        <v/>
      </c>
      <c r="AJ232" s="46"/>
      <c r="AK232" s="147">
        <f t="shared" ca="1" si="152"/>
        <v>2.0216000000000456</v>
      </c>
      <c r="AL232" s="147">
        <f t="shared" si="153"/>
        <v>2.0219000000000462</v>
      </c>
      <c r="AM232" s="12" t="str">
        <f>IF(V232&lt;=AO$3,VLOOKUP(V232,Kontenplan!$A$9:$D$278,4),"")</f>
        <v/>
      </c>
      <c r="AN232" s="12">
        <f t="shared" si="154"/>
        <v>0</v>
      </c>
      <c r="AO232" s="12" t="str">
        <f t="shared" ca="1" si="155"/>
        <v/>
      </c>
      <c r="AP232" s="46" t="str">
        <f t="shared" ca="1" si="156"/>
        <v/>
      </c>
      <c r="AQ232" s="46" t="str">
        <f t="shared" ca="1" si="157"/>
        <v/>
      </c>
      <c r="AR232" s="46"/>
      <c r="AS232" s="147">
        <f t="shared" ca="1" si="158"/>
        <v>3.0215000000000454</v>
      </c>
      <c r="AT232" s="147">
        <f t="shared" si="159"/>
        <v>2.0220000000000464</v>
      </c>
      <c r="AU232" s="47" t="str">
        <f>IF(V232&lt;=AW$3,VLOOKUP(AO$3+V232,Kontenplan!$A$9:$D$278,4),"")</f>
        <v/>
      </c>
      <c r="AV232" s="12">
        <f t="shared" si="160"/>
        <v>0</v>
      </c>
      <c r="AW232" s="12" t="str">
        <f t="shared" ca="1" si="161"/>
        <v/>
      </c>
      <c r="AX232" s="46" t="str">
        <f t="shared" ca="1" si="129"/>
        <v/>
      </c>
      <c r="AY232" s="46" t="str">
        <f t="shared" ca="1" si="162"/>
        <v/>
      </c>
      <c r="AZ232" s="12"/>
      <c r="BA232" s="12">
        <f>Kontenplan!R234</f>
        <v>3</v>
      </c>
      <c r="BB232" s="12">
        <f>Kontenplan!S234</f>
        <v>2</v>
      </c>
      <c r="BC232" s="12">
        <f>Kontenplan!T234</f>
        <v>4</v>
      </c>
      <c r="BD232" s="170">
        <f>Kontenplan!U234</f>
        <v>4</v>
      </c>
      <c r="BE232" s="12"/>
      <c r="BF232" s="24">
        <f ca="1">SUM(AP$7:AP232)</f>
        <v>0</v>
      </c>
      <c r="BG232" s="46">
        <f ca="1">SUM(AQ$7:AQ231)</f>
        <v>0</v>
      </c>
      <c r="BH232" s="24">
        <f t="shared" ca="1" si="163"/>
        <v>0</v>
      </c>
      <c r="BI232" s="24"/>
      <c r="BJ232" s="24">
        <f ca="1">SUM(AX$7:AX232)</f>
        <v>0</v>
      </c>
      <c r="BK232" s="24">
        <f ca="1">SUM(AY$7:AY231)</f>
        <v>0</v>
      </c>
      <c r="BL232" s="24">
        <f t="shared" ca="1" si="164"/>
        <v>0</v>
      </c>
      <c r="BM232" s="12"/>
      <c r="BN232" s="24">
        <f ca="1">SUM(AB$7:AB232)</f>
        <v>0</v>
      </c>
      <c r="BO232" s="46">
        <f ca="1">SUM(AC$7:AC231)</f>
        <v>0</v>
      </c>
      <c r="BP232" s="24">
        <f t="shared" ca="1" si="165"/>
        <v>0</v>
      </c>
      <c r="BQ232" s="12"/>
      <c r="BR232" s="24">
        <f ca="1">SUM(AH$7:AH232)</f>
        <v>0</v>
      </c>
      <c r="BS232" s="46">
        <f ca="1">SUM(AI$7:AI231)</f>
        <v>0</v>
      </c>
      <c r="BT232" s="24">
        <f t="shared" ca="1" si="166"/>
        <v>0</v>
      </c>
    </row>
    <row r="233" spans="1:72">
      <c r="A233" s="202">
        <f>Kontenplan!C235</f>
        <v>0</v>
      </c>
      <c r="B233" s="224">
        <f>Kontenplan!E235</f>
        <v>0</v>
      </c>
      <c r="C233" s="225">
        <f>Kontenplan!F235</f>
        <v>0</v>
      </c>
      <c r="D233" s="43">
        <f>IF(B233=0,0,SUMIF(Journal!$F$7:$F$83,Calc!B233,Journal!$I$7:$I$83))</f>
        <v>0</v>
      </c>
      <c r="E233" s="15">
        <f>IF(B233=0,0,SUMIF(Journal!$G$7:$M307,Calc!B233,Journal!$I$7:$I$83))</f>
        <v>0</v>
      </c>
      <c r="F233" s="44">
        <f t="shared" si="130"/>
        <v>0</v>
      </c>
      <c r="G233" s="15">
        <f t="shared" si="131"/>
        <v>0</v>
      </c>
      <c r="H233" s="14" t="str">
        <f t="shared" si="132"/>
        <v xml:space="preserve"> </v>
      </c>
      <c r="I233" s="43" t="str">
        <f t="shared" si="133"/>
        <v xml:space="preserve"> </v>
      </c>
      <c r="J233" s="45" t="str">
        <f t="shared" si="134"/>
        <v xml:space="preserve"> </v>
      </c>
      <c r="K233" s="48" t="str">
        <f t="shared" si="135"/>
        <v xml:space="preserve"> </v>
      </c>
      <c r="L233" s="45" t="str">
        <f t="shared" si="136"/>
        <v xml:space="preserve"> </v>
      </c>
      <c r="M233" s="48" t="str">
        <f t="shared" si="137"/>
        <v xml:space="preserve"> </v>
      </c>
      <c r="N233" s="24"/>
      <c r="O233" s="12">
        <f t="shared" si="138"/>
        <v>10.043399999999899</v>
      </c>
      <c r="P233" s="12">
        <f t="shared" si="139"/>
        <v>9.041599999999903</v>
      </c>
      <c r="Q233" s="12">
        <f t="shared" si="140"/>
        <v>31.035399999999917</v>
      </c>
      <c r="R233" s="12">
        <f t="shared" si="141"/>
        <v>29.029599999999931</v>
      </c>
      <c r="S233" s="12">
        <f t="shared" si="142"/>
        <v>0</v>
      </c>
      <c r="T233" s="12">
        <f t="shared" si="143"/>
        <v>0</v>
      </c>
      <c r="U233" s="43">
        <f>IF(OR(A233=Kontenplan!$C$3,A233=Kontenplan!$C$5),F233-G233,G233-F233)</f>
        <v>0</v>
      </c>
      <c r="V233" s="171">
        <f t="shared" si="126"/>
        <v>227</v>
      </c>
      <c r="W233" s="12">
        <f t="shared" si="127"/>
        <v>200</v>
      </c>
      <c r="X233" s="12">
        <f t="shared" si="128"/>
        <v>202</v>
      </c>
      <c r="Y233" s="12">
        <f>IF(Z233=0,VLOOKUP(W233,Kontenplan!$Y$9:$AA$551,3),"")</f>
        <v>0</v>
      </c>
      <c r="Z233" s="12">
        <f t="shared" si="144"/>
        <v>0</v>
      </c>
      <c r="AA233" s="12" t="str">
        <f t="shared" ca="1" si="145"/>
        <v/>
      </c>
      <c r="AB233" s="46" t="str">
        <f t="shared" ca="1" si="146"/>
        <v/>
      </c>
      <c r="AC233" s="46" t="str">
        <f t="shared" ca="1" si="147"/>
        <v/>
      </c>
      <c r="AD233" s="47"/>
      <c r="AE233" s="12">
        <f>IF(AF233=0,VLOOKUP(X233,Kontenplan!$Z$9:$AB$551,3),"")</f>
        <v>0</v>
      </c>
      <c r="AF233" s="47">
        <f t="shared" si="148"/>
        <v>0</v>
      </c>
      <c r="AG233" s="12" t="str">
        <f t="shared" ca="1" si="149"/>
        <v/>
      </c>
      <c r="AH233" s="46" t="str">
        <f t="shared" ca="1" si="150"/>
        <v/>
      </c>
      <c r="AI233" s="46" t="str">
        <f t="shared" ca="1" si="151"/>
        <v/>
      </c>
      <c r="AJ233" s="46"/>
      <c r="AK233" s="147">
        <f t="shared" ca="1" si="152"/>
        <v>2.0217000000000458</v>
      </c>
      <c r="AL233" s="147">
        <f t="shared" si="153"/>
        <v>2.0220000000000464</v>
      </c>
      <c r="AM233" s="12" t="str">
        <f>IF(V233&lt;=AO$3,VLOOKUP(V233,Kontenplan!$A$9:$D$278,4),"")</f>
        <v/>
      </c>
      <c r="AN233" s="12">
        <f t="shared" si="154"/>
        <v>0</v>
      </c>
      <c r="AO233" s="12" t="str">
        <f t="shared" ca="1" si="155"/>
        <v/>
      </c>
      <c r="AP233" s="46" t="str">
        <f t="shared" ca="1" si="156"/>
        <v/>
      </c>
      <c r="AQ233" s="46" t="str">
        <f t="shared" ca="1" si="157"/>
        <v/>
      </c>
      <c r="AR233" s="46"/>
      <c r="AS233" s="147">
        <f t="shared" ca="1" si="158"/>
        <v>3.0216000000000456</v>
      </c>
      <c r="AT233" s="147">
        <f t="shared" si="159"/>
        <v>2.0221000000000466</v>
      </c>
      <c r="AU233" s="47" t="str">
        <f>IF(V233&lt;=AW$3,VLOOKUP(AO$3+V233,Kontenplan!$A$9:$D$278,4),"")</f>
        <v/>
      </c>
      <c r="AV233" s="12">
        <f t="shared" si="160"/>
        <v>0</v>
      </c>
      <c r="AW233" s="12" t="str">
        <f t="shared" ca="1" si="161"/>
        <v/>
      </c>
      <c r="AX233" s="46" t="str">
        <f t="shared" ca="1" si="129"/>
        <v/>
      </c>
      <c r="AY233" s="46" t="str">
        <f t="shared" ca="1" si="162"/>
        <v/>
      </c>
      <c r="AZ233" s="12"/>
      <c r="BA233" s="12">
        <f>Kontenplan!R235</f>
        <v>3</v>
      </c>
      <c r="BB233" s="12">
        <f>Kontenplan!S235</f>
        <v>2</v>
      </c>
      <c r="BC233" s="12">
        <f>Kontenplan!T235</f>
        <v>4</v>
      </c>
      <c r="BD233" s="170">
        <f>Kontenplan!U235</f>
        <v>4</v>
      </c>
      <c r="BE233" s="12"/>
      <c r="BF233" s="24">
        <f ca="1">SUM(AP$7:AP233)</f>
        <v>0</v>
      </c>
      <c r="BG233" s="46">
        <f ca="1">SUM(AQ$7:AQ232)</f>
        <v>0</v>
      </c>
      <c r="BH233" s="24">
        <f t="shared" ca="1" si="163"/>
        <v>0</v>
      </c>
      <c r="BI233" s="24"/>
      <c r="BJ233" s="24">
        <f ca="1">SUM(AX$7:AX233)</f>
        <v>0</v>
      </c>
      <c r="BK233" s="24">
        <f ca="1">SUM(AY$7:AY232)</f>
        <v>0</v>
      </c>
      <c r="BL233" s="24">
        <f t="shared" ca="1" si="164"/>
        <v>0</v>
      </c>
      <c r="BM233" s="12"/>
      <c r="BN233" s="24">
        <f ca="1">SUM(AB$7:AB233)</f>
        <v>0</v>
      </c>
      <c r="BO233" s="46">
        <f ca="1">SUM(AC$7:AC232)</f>
        <v>0</v>
      </c>
      <c r="BP233" s="24">
        <f t="shared" ca="1" si="165"/>
        <v>0</v>
      </c>
      <c r="BQ233" s="12"/>
      <c r="BR233" s="24">
        <f ca="1">SUM(AH$7:AH233)</f>
        <v>0</v>
      </c>
      <c r="BS233" s="46">
        <f ca="1">SUM(AI$7:AI232)</f>
        <v>0</v>
      </c>
      <c r="BT233" s="24">
        <f t="shared" ca="1" si="166"/>
        <v>0</v>
      </c>
    </row>
    <row r="234" spans="1:72">
      <c r="A234" s="202">
        <f>Kontenplan!C236</f>
        <v>0</v>
      </c>
      <c r="B234" s="224">
        <f>Kontenplan!E236</f>
        <v>0</v>
      </c>
      <c r="C234" s="225">
        <f>Kontenplan!F236</f>
        <v>0</v>
      </c>
      <c r="D234" s="43">
        <f>IF(B234=0,0,SUMIF(Journal!$F$7:$F$83,Calc!B234,Journal!$I$7:$I$83))</f>
        <v>0</v>
      </c>
      <c r="E234" s="15">
        <f>IF(B234=0,0,SUMIF(Journal!$G$7:$M308,Calc!B234,Journal!$I$7:$I$83))</f>
        <v>0</v>
      </c>
      <c r="F234" s="44">
        <f t="shared" si="130"/>
        <v>0</v>
      </c>
      <c r="G234" s="15">
        <f t="shared" si="131"/>
        <v>0</v>
      </c>
      <c r="H234" s="14" t="str">
        <f t="shared" si="132"/>
        <v xml:space="preserve"> </v>
      </c>
      <c r="I234" s="43" t="str">
        <f t="shared" si="133"/>
        <v xml:space="preserve"> </v>
      </c>
      <c r="J234" s="45" t="str">
        <f t="shared" si="134"/>
        <v xml:space="preserve"> </v>
      </c>
      <c r="K234" s="48" t="str">
        <f t="shared" si="135"/>
        <v xml:space="preserve"> </v>
      </c>
      <c r="L234" s="45" t="str">
        <f t="shared" si="136"/>
        <v xml:space="preserve"> </v>
      </c>
      <c r="M234" s="48" t="str">
        <f t="shared" si="137"/>
        <v xml:space="preserve"> </v>
      </c>
      <c r="N234" s="24"/>
      <c r="O234" s="12">
        <f t="shared" si="138"/>
        <v>10.043599999999898</v>
      </c>
      <c r="P234" s="12">
        <f t="shared" si="139"/>
        <v>9.0417999999999026</v>
      </c>
      <c r="Q234" s="12">
        <f t="shared" si="140"/>
        <v>31.035599999999917</v>
      </c>
      <c r="R234" s="12">
        <f t="shared" si="141"/>
        <v>29.029799999999931</v>
      </c>
      <c r="S234" s="12">
        <f t="shared" si="142"/>
        <v>0</v>
      </c>
      <c r="T234" s="12">
        <f t="shared" si="143"/>
        <v>0</v>
      </c>
      <c r="U234" s="43">
        <f>IF(OR(A234=Kontenplan!$C$3,A234=Kontenplan!$C$5),F234-G234,G234-F234)</f>
        <v>0</v>
      </c>
      <c r="V234" s="171">
        <f t="shared" si="126"/>
        <v>228</v>
      </c>
      <c r="W234" s="12">
        <f t="shared" si="127"/>
        <v>201</v>
      </c>
      <c r="X234" s="12">
        <f t="shared" si="128"/>
        <v>203</v>
      </c>
      <c r="Y234" s="12">
        <f>IF(Z234=0,VLOOKUP(W234,Kontenplan!$Y$9:$AA$551,3),"")</f>
        <v>0</v>
      </c>
      <c r="Z234" s="12">
        <f t="shared" si="144"/>
        <v>0</v>
      </c>
      <c r="AA234" s="12" t="str">
        <f t="shared" ca="1" si="145"/>
        <v/>
      </c>
      <c r="AB234" s="46" t="str">
        <f t="shared" ca="1" si="146"/>
        <v/>
      </c>
      <c r="AC234" s="46" t="str">
        <f t="shared" ca="1" si="147"/>
        <v/>
      </c>
      <c r="AD234" s="47"/>
      <c r="AE234" s="12">
        <f>IF(AF234=0,VLOOKUP(X234,Kontenplan!$Z$9:$AB$551,3),"")</f>
        <v>0</v>
      </c>
      <c r="AF234" s="47">
        <f t="shared" si="148"/>
        <v>0</v>
      </c>
      <c r="AG234" s="12" t="str">
        <f t="shared" ca="1" si="149"/>
        <v/>
      </c>
      <c r="AH234" s="46" t="str">
        <f t="shared" ca="1" si="150"/>
        <v/>
      </c>
      <c r="AI234" s="46" t="str">
        <f t="shared" ca="1" si="151"/>
        <v/>
      </c>
      <c r="AJ234" s="46"/>
      <c r="AK234" s="147">
        <f t="shared" ca="1" si="152"/>
        <v>2.021800000000046</v>
      </c>
      <c r="AL234" s="147">
        <f t="shared" si="153"/>
        <v>2.0221000000000466</v>
      </c>
      <c r="AM234" s="12" t="str">
        <f>IF(V234&lt;=AO$3,VLOOKUP(V234,Kontenplan!$A$9:$D$278,4),"")</f>
        <v/>
      </c>
      <c r="AN234" s="12">
        <f t="shared" si="154"/>
        <v>0</v>
      </c>
      <c r="AO234" s="12" t="str">
        <f t="shared" ca="1" si="155"/>
        <v/>
      </c>
      <c r="AP234" s="46" t="str">
        <f t="shared" ca="1" si="156"/>
        <v/>
      </c>
      <c r="AQ234" s="46" t="str">
        <f t="shared" ca="1" si="157"/>
        <v/>
      </c>
      <c r="AR234" s="46"/>
      <c r="AS234" s="147">
        <f t="shared" ca="1" si="158"/>
        <v>3.0217000000000458</v>
      </c>
      <c r="AT234" s="147">
        <f t="shared" si="159"/>
        <v>2.0222000000000468</v>
      </c>
      <c r="AU234" s="47" t="str">
        <f>IF(V234&lt;=AW$3,VLOOKUP(AO$3+V234,Kontenplan!$A$9:$D$278,4),"")</f>
        <v/>
      </c>
      <c r="AV234" s="12">
        <f t="shared" si="160"/>
        <v>0</v>
      </c>
      <c r="AW234" s="12" t="str">
        <f t="shared" ca="1" si="161"/>
        <v/>
      </c>
      <c r="AX234" s="46" t="str">
        <f t="shared" ca="1" si="129"/>
        <v/>
      </c>
      <c r="AY234" s="46" t="str">
        <f t="shared" ca="1" si="162"/>
        <v/>
      </c>
      <c r="AZ234" s="12"/>
      <c r="BA234" s="12">
        <f>Kontenplan!R236</f>
        <v>3</v>
      </c>
      <c r="BB234" s="12">
        <f>Kontenplan!S236</f>
        <v>2</v>
      </c>
      <c r="BC234" s="12">
        <f>Kontenplan!T236</f>
        <v>4</v>
      </c>
      <c r="BD234" s="170">
        <f>Kontenplan!U236</f>
        <v>4</v>
      </c>
      <c r="BE234" s="12"/>
      <c r="BF234" s="24">
        <f ca="1">SUM(AP$7:AP234)</f>
        <v>0</v>
      </c>
      <c r="BG234" s="46">
        <f ca="1">SUM(AQ$7:AQ233)</f>
        <v>0</v>
      </c>
      <c r="BH234" s="24">
        <f t="shared" ca="1" si="163"/>
        <v>0</v>
      </c>
      <c r="BI234" s="24"/>
      <c r="BJ234" s="24">
        <f ca="1">SUM(AX$7:AX234)</f>
        <v>0</v>
      </c>
      <c r="BK234" s="24">
        <f ca="1">SUM(AY$7:AY233)</f>
        <v>0</v>
      </c>
      <c r="BL234" s="24">
        <f t="shared" ca="1" si="164"/>
        <v>0</v>
      </c>
      <c r="BM234" s="12"/>
      <c r="BN234" s="24">
        <f ca="1">SUM(AB$7:AB234)</f>
        <v>0</v>
      </c>
      <c r="BO234" s="46">
        <f ca="1">SUM(AC$7:AC233)</f>
        <v>0</v>
      </c>
      <c r="BP234" s="24">
        <f t="shared" ca="1" si="165"/>
        <v>0</v>
      </c>
      <c r="BQ234" s="12"/>
      <c r="BR234" s="24">
        <f ca="1">SUM(AH$7:AH234)</f>
        <v>0</v>
      </c>
      <c r="BS234" s="46">
        <f ca="1">SUM(AI$7:AI233)</f>
        <v>0</v>
      </c>
      <c r="BT234" s="24">
        <f t="shared" ca="1" si="166"/>
        <v>0</v>
      </c>
    </row>
    <row r="235" spans="1:72">
      <c r="A235" s="202">
        <f>Kontenplan!C237</f>
        <v>0</v>
      </c>
      <c r="B235" s="224">
        <f>Kontenplan!E237</f>
        <v>0</v>
      </c>
      <c r="C235" s="225">
        <f>Kontenplan!F237</f>
        <v>0</v>
      </c>
      <c r="D235" s="43">
        <f>IF(B235=0,0,SUMIF(Journal!$F$7:$F$83,Calc!B235,Journal!$I$7:$I$83))</f>
        <v>0</v>
      </c>
      <c r="E235" s="15">
        <f>IF(B235=0,0,SUMIF(Journal!$G$7:$M309,Calc!B235,Journal!$I$7:$I$83))</f>
        <v>0</v>
      </c>
      <c r="F235" s="44">
        <f t="shared" si="130"/>
        <v>0</v>
      </c>
      <c r="G235" s="15">
        <f t="shared" si="131"/>
        <v>0</v>
      </c>
      <c r="H235" s="14" t="str">
        <f t="shared" si="132"/>
        <v xml:space="preserve"> </v>
      </c>
      <c r="I235" s="43" t="str">
        <f t="shared" si="133"/>
        <v xml:space="preserve"> </v>
      </c>
      <c r="J235" s="45" t="str">
        <f t="shared" si="134"/>
        <v xml:space="preserve"> </v>
      </c>
      <c r="K235" s="48" t="str">
        <f t="shared" si="135"/>
        <v xml:space="preserve"> </v>
      </c>
      <c r="L235" s="45" t="str">
        <f t="shared" si="136"/>
        <v xml:space="preserve"> </v>
      </c>
      <c r="M235" s="48" t="str">
        <f t="shared" si="137"/>
        <v xml:space="preserve"> </v>
      </c>
      <c r="N235" s="24"/>
      <c r="O235" s="12">
        <f t="shared" si="138"/>
        <v>10.043799999999898</v>
      </c>
      <c r="P235" s="12">
        <f t="shared" si="139"/>
        <v>9.0419999999999021</v>
      </c>
      <c r="Q235" s="12">
        <f t="shared" si="140"/>
        <v>31.035799999999917</v>
      </c>
      <c r="R235" s="12">
        <f t="shared" si="141"/>
        <v>29.02999999999993</v>
      </c>
      <c r="S235" s="12">
        <f t="shared" si="142"/>
        <v>0</v>
      </c>
      <c r="T235" s="12">
        <f t="shared" si="143"/>
        <v>0</v>
      </c>
      <c r="U235" s="43">
        <f>IF(OR(A235=Kontenplan!$C$3,A235=Kontenplan!$C$5),F235-G235,G235-F235)</f>
        <v>0</v>
      </c>
      <c r="V235" s="171">
        <f t="shared" si="126"/>
        <v>229</v>
      </c>
      <c r="W235" s="12">
        <f t="shared" si="127"/>
        <v>202</v>
      </c>
      <c r="X235" s="12">
        <f t="shared" si="128"/>
        <v>204</v>
      </c>
      <c r="Y235" s="12">
        <f>IF(Z235=0,VLOOKUP(W235,Kontenplan!$Y$9:$AA$551,3),"")</f>
        <v>0</v>
      </c>
      <c r="Z235" s="12">
        <f t="shared" si="144"/>
        <v>0</v>
      </c>
      <c r="AA235" s="12" t="str">
        <f t="shared" ca="1" si="145"/>
        <v/>
      </c>
      <c r="AB235" s="46" t="str">
        <f t="shared" ca="1" si="146"/>
        <v/>
      </c>
      <c r="AC235" s="46" t="str">
        <f t="shared" ca="1" si="147"/>
        <v/>
      </c>
      <c r="AD235" s="47"/>
      <c r="AE235" s="12">
        <f>IF(AF235=0,VLOOKUP(X235,Kontenplan!$Z$9:$AB$551,3),"")</f>
        <v>0</v>
      </c>
      <c r="AF235" s="47">
        <f t="shared" si="148"/>
        <v>0</v>
      </c>
      <c r="AG235" s="12" t="str">
        <f t="shared" ca="1" si="149"/>
        <v/>
      </c>
      <c r="AH235" s="46" t="str">
        <f t="shared" ca="1" si="150"/>
        <v/>
      </c>
      <c r="AI235" s="46" t="str">
        <f t="shared" ca="1" si="151"/>
        <v/>
      </c>
      <c r="AJ235" s="46"/>
      <c r="AK235" s="147">
        <f t="shared" ca="1" si="152"/>
        <v>2.0219000000000462</v>
      </c>
      <c r="AL235" s="147">
        <f t="shared" si="153"/>
        <v>2.0222000000000468</v>
      </c>
      <c r="AM235" s="12" t="str">
        <f>IF(V235&lt;=AO$3,VLOOKUP(V235,Kontenplan!$A$9:$D$278,4),"")</f>
        <v/>
      </c>
      <c r="AN235" s="12">
        <f t="shared" si="154"/>
        <v>0</v>
      </c>
      <c r="AO235" s="12" t="str">
        <f t="shared" ca="1" si="155"/>
        <v/>
      </c>
      <c r="AP235" s="46" t="str">
        <f t="shared" ca="1" si="156"/>
        <v/>
      </c>
      <c r="AQ235" s="46" t="str">
        <f t="shared" ca="1" si="157"/>
        <v/>
      </c>
      <c r="AR235" s="46"/>
      <c r="AS235" s="147">
        <f t="shared" ca="1" si="158"/>
        <v>3.021800000000046</v>
      </c>
      <c r="AT235" s="147">
        <f t="shared" si="159"/>
        <v>2.0223000000000471</v>
      </c>
      <c r="AU235" s="47" t="str">
        <f>IF(V235&lt;=AW$3,VLOOKUP(AO$3+V235,Kontenplan!$A$9:$D$278,4),"")</f>
        <v/>
      </c>
      <c r="AV235" s="12">
        <f t="shared" si="160"/>
        <v>0</v>
      </c>
      <c r="AW235" s="12" t="str">
        <f t="shared" ca="1" si="161"/>
        <v/>
      </c>
      <c r="AX235" s="46" t="str">
        <f t="shared" ca="1" si="129"/>
        <v/>
      </c>
      <c r="AY235" s="46" t="str">
        <f t="shared" ca="1" si="162"/>
        <v/>
      </c>
      <c r="AZ235" s="12"/>
      <c r="BA235" s="12">
        <f>Kontenplan!R237</f>
        <v>3</v>
      </c>
      <c r="BB235" s="12">
        <f>Kontenplan!S237</f>
        <v>2</v>
      </c>
      <c r="BC235" s="12">
        <f>Kontenplan!T237</f>
        <v>4</v>
      </c>
      <c r="BD235" s="170">
        <f>Kontenplan!U237</f>
        <v>4</v>
      </c>
      <c r="BE235" s="12"/>
      <c r="BF235" s="24">
        <f ca="1">SUM(AP$7:AP235)</f>
        <v>0</v>
      </c>
      <c r="BG235" s="46">
        <f ca="1">SUM(AQ$7:AQ234)</f>
        <v>0</v>
      </c>
      <c r="BH235" s="24">
        <f t="shared" ca="1" si="163"/>
        <v>0</v>
      </c>
      <c r="BI235" s="24"/>
      <c r="BJ235" s="24">
        <f ca="1">SUM(AX$7:AX235)</f>
        <v>0</v>
      </c>
      <c r="BK235" s="24">
        <f ca="1">SUM(AY$7:AY234)</f>
        <v>0</v>
      </c>
      <c r="BL235" s="24">
        <f t="shared" ca="1" si="164"/>
        <v>0</v>
      </c>
      <c r="BM235" s="12"/>
      <c r="BN235" s="24">
        <f ca="1">SUM(AB$7:AB235)</f>
        <v>0</v>
      </c>
      <c r="BO235" s="46">
        <f ca="1">SUM(AC$7:AC234)</f>
        <v>0</v>
      </c>
      <c r="BP235" s="24">
        <f t="shared" ca="1" si="165"/>
        <v>0</v>
      </c>
      <c r="BQ235" s="12"/>
      <c r="BR235" s="24">
        <f ca="1">SUM(AH$7:AH235)</f>
        <v>0</v>
      </c>
      <c r="BS235" s="46">
        <f ca="1">SUM(AI$7:AI234)</f>
        <v>0</v>
      </c>
      <c r="BT235" s="24">
        <f t="shared" ca="1" si="166"/>
        <v>0</v>
      </c>
    </row>
    <row r="236" spans="1:72">
      <c r="A236" s="202">
        <f>Kontenplan!C238</f>
        <v>0</v>
      </c>
      <c r="B236" s="224">
        <f>Kontenplan!E238</f>
        <v>0</v>
      </c>
      <c r="C236" s="225">
        <f>Kontenplan!F238</f>
        <v>0</v>
      </c>
      <c r="D236" s="43">
        <f>IF(B236=0,0,SUMIF(Journal!$F$7:$F$83,Calc!B236,Journal!$I$7:$I$83))</f>
        <v>0</v>
      </c>
      <c r="E236" s="15">
        <f>IF(B236=0,0,SUMIF(Journal!$G$7:$M310,Calc!B236,Journal!$I$7:$I$83))</f>
        <v>0</v>
      </c>
      <c r="F236" s="44">
        <f t="shared" si="130"/>
        <v>0</v>
      </c>
      <c r="G236" s="15">
        <f t="shared" si="131"/>
        <v>0</v>
      </c>
      <c r="H236" s="14" t="str">
        <f t="shared" si="132"/>
        <v xml:space="preserve"> </v>
      </c>
      <c r="I236" s="43" t="str">
        <f t="shared" si="133"/>
        <v xml:space="preserve"> </v>
      </c>
      <c r="J236" s="45" t="str">
        <f t="shared" si="134"/>
        <v xml:space="preserve"> </v>
      </c>
      <c r="K236" s="48" t="str">
        <f t="shared" si="135"/>
        <v xml:space="preserve"> </v>
      </c>
      <c r="L236" s="45" t="str">
        <f t="shared" si="136"/>
        <v xml:space="preserve"> </v>
      </c>
      <c r="M236" s="48" t="str">
        <f t="shared" si="137"/>
        <v xml:space="preserve"> </v>
      </c>
      <c r="N236" s="24"/>
      <c r="O236" s="12">
        <f t="shared" si="138"/>
        <v>10.043999999999897</v>
      </c>
      <c r="P236" s="12">
        <f t="shared" si="139"/>
        <v>9.0421999999999016</v>
      </c>
      <c r="Q236" s="12">
        <f t="shared" si="140"/>
        <v>31.035999999999916</v>
      </c>
      <c r="R236" s="12">
        <f t="shared" si="141"/>
        <v>29.03019999999993</v>
      </c>
      <c r="S236" s="12">
        <f t="shared" si="142"/>
        <v>0</v>
      </c>
      <c r="T236" s="12">
        <f t="shared" si="143"/>
        <v>0</v>
      </c>
      <c r="U236" s="43">
        <f>IF(OR(A236=Kontenplan!$C$3,A236=Kontenplan!$C$5),F236-G236,G236-F236)</f>
        <v>0</v>
      </c>
      <c r="V236" s="171">
        <f t="shared" si="126"/>
        <v>230</v>
      </c>
      <c r="W236" s="12">
        <f t="shared" si="127"/>
        <v>203</v>
      </c>
      <c r="X236" s="12">
        <f t="shared" si="128"/>
        <v>205</v>
      </c>
      <c r="Y236" s="12">
        <f>IF(Z236=0,VLOOKUP(W236,Kontenplan!$Y$9:$AA$551,3),"")</f>
        <v>0</v>
      </c>
      <c r="Z236" s="12">
        <f t="shared" si="144"/>
        <v>0</v>
      </c>
      <c r="AA236" s="12" t="str">
        <f t="shared" ca="1" si="145"/>
        <v/>
      </c>
      <c r="AB236" s="46" t="str">
        <f t="shared" ca="1" si="146"/>
        <v/>
      </c>
      <c r="AC236" s="46" t="str">
        <f t="shared" ca="1" si="147"/>
        <v/>
      </c>
      <c r="AD236" s="47"/>
      <c r="AE236" s="12">
        <f>IF(AF236=0,VLOOKUP(X236,Kontenplan!$Z$9:$AB$551,3),"")</f>
        <v>0</v>
      </c>
      <c r="AF236" s="47">
        <f t="shared" si="148"/>
        <v>0</v>
      </c>
      <c r="AG236" s="12" t="str">
        <f t="shared" ca="1" si="149"/>
        <v/>
      </c>
      <c r="AH236" s="46" t="str">
        <f t="shared" ca="1" si="150"/>
        <v/>
      </c>
      <c r="AI236" s="46" t="str">
        <f t="shared" ca="1" si="151"/>
        <v/>
      </c>
      <c r="AJ236" s="46"/>
      <c r="AK236" s="147">
        <f t="shared" ca="1" si="152"/>
        <v>2.0220000000000464</v>
      </c>
      <c r="AL236" s="147">
        <f t="shared" si="153"/>
        <v>2.0223000000000471</v>
      </c>
      <c r="AM236" s="12" t="str">
        <f>IF(V236&lt;=AO$3,VLOOKUP(V236,Kontenplan!$A$9:$D$278,4),"")</f>
        <v/>
      </c>
      <c r="AN236" s="12">
        <f t="shared" si="154"/>
        <v>0</v>
      </c>
      <c r="AO236" s="12" t="str">
        <f t="shared" ca="1" si="155"/>
        <v/>
      </c>
      <c r="AP236" s="46" t="str">
        <f t="shared" ca="1" si="156"/>
        <v/>
      </c>
      <c r="AQ236" s="46" t="str">
        <f t="shared" ca="1" si="157"/>
        <v/>
      </c>
      <c r="AR236" s="46"/>
      <c r="AS236" s="147">
        <f t="shared" ca="1" si="158"/>
        <v>3.0219000000000462</v>
      </c>
      <c r="AT236" s="147">
        <f t="shared" si="159"/>
        <v>2.0224000000000473</v>
      </c>
      <c r="AU236" s="47" t="str">
        <f>IF(V236&lt;=AW$3,VLOOKUP(AO$3+V236,Kontenplan!$A$9:$D$278,4),"")</f>
        <v/>
      </c>
      <c r="AV236" s="12">
        <f t="shared" si="160"/>
        <v>0</v>
      </c>
      <c r="AW236" s="12" t="str">
        <f t="shared" ca="1" si="161"/>
        <v/>
      </c>
      <c r="AX236" s="46" t="str">
        <f t="shared" ca="1" si="129"/>
        <v/>
      </c>
      <c r="AY236" s="46" t="str">
        <f t="shared" ca="1" si="162"/>
        <v/>
      </c>
      <c r="AZ236" s="12"/>
      <c r="BA236" s="12">
        <f>Kontenplan!R238</f>
        <v>3</v>
      </c>
      <c r="BB236" s="12">
        <f>Kontenplan!S238</f>
        <v>2</v>
      </c>
      <c r="BC236" s="12">
        <f>Kontenplan!T238</f>
        <v>4</v>
      </c>
      <c r="BD236" s="170">
        <f>Kontenplan!U238</f>
        <v>4</v>
      </c>
      <c r="BE236" s="12"/>
      <c r="BF236" s="24">
        <f ca="1">SUM(AP$7:AP236)</f>
        <v>0</v>
      </c>
      <c r="BG236" s="46">
        <f ca="1">SUM(AQ$7:AQ235)</f>
        <v>0</v>
      </c>
      <c r="BH236" s="24">
        <f t="shared" ca="1" si="163"/>
        <v>0</v>
      </c>
      <c r="BI236" s="24"/>
      <c r="BJ236" s="24">
        <f ca="1">SUM(AX$7:AX236)</f>
        <v>0</v>
      </c>
      <c r="BK236" s="24">
        <f ca="1">SUM(AY$7:AY235)</f>
        <v>0</v>
      </c>
      <c r="BL236" s="24">
        <f t="shared" ca="1" si="164"/>
        <v>0</v>
      </c>
      <c r="BM236" s="12"/>
      <c r="BN236" s="24">
        <f ca="1">SUM(AB$7:AB236)</f>
        <v>0</v>
      </c>
      <c r="BO236" s="46">
        <f ca="1">SUM(AC$7:AC235)</f>
        <v>0</v>
      </c>
      <c r="BP236" s="24">
        <f t="shared" ca="1" si="165"/>
        <v>0</v>
      </c>
      <c r="BQ236" s="12"/>
      <c r="BR236" s="24">
        <f ca="1">SUM(AH$7:AH236)</f>
        <v>0</v>
      </c>
      <c r="BS236" s="46">
        <f ca="1">SUM(AI$7:AI235)</f>
        <v>0</v>
      </c>
      <c r="BT236" s="24">
        <f t="shared" ca="1" si="166"/>
        <v>0</v>
      </c>
    </row>
    <row r="237" spans="1:72">
      <c r="A237" s="202">
        <f>Kontenplan!C239</f>
        <v>0</v>
      </c>
      <c r="B237" s="224">
        <f>Kontenplan!E239</f>
        <v>0</v>
      </c>
      <c r="C237" s="225">
        <f>Kontenplan!F239</f>
        <v>0</v>
      </c>
      <c r="D237" s="43">
        <f>IF(B237=0,0,SUMIF(Journal!$F$7:$F$83,Calc!B237,Journal!$I$7:$I$83))</f>
        <v>0</v>
      </c>
      <c r="E237" s="15">
        <f>IF(B237=0,0,SUMIF(Journal!$G$7:$M311,Calc!B237,Journal!$I$7:$I$83))</f>
        <v>0</v>
      </c>
      <c r="F237" s="44">
        <f t="shared" si="130"/>
        <v>0</v>
      </c>
      <c r="G237" s="15">
        <f t="shared" si="131"/>
        <v>0</v>
      </c>
      <c r="H237" s="14" t="str">
        <f t="shared" si="132"/>
        <v xml:space="preserve"> </v>
      </c>
      <c r="I237" s="43" t="str">
        <f t="shared" si="133"/>
        <v xml:space="preserve"> </v>
      </c>
      <c r="J237" s="45" t="str">
        <f t="shared" si="134"/>
        <v xml:space="preserve"> </v>
      </c>
      <c r="K237" s="48" t="str">
        <f t="shared" si="135"/>
        <v xml:space="preserve"> </v>
      </c>
      <c r="L237" s="45" t="str">
        <f t="shared" si="136"/>
        <v xml:space="preserve"> </v>
      </c>
      <c r="M237" s="48" t="str">
        <f t="shared" si="137"/>
        <v xml:space="preserve"> </v>
      </c>
      <c r="N237" s="24"/>
      <c r="O237" s="12">
        <f t="shared" si="138"/>
        <v>10.044199999999897</v>
      </c>
      <c r="P237" s="12">
        <f t="shared" si="139"/>
        <v>9.0423999999999012</v>
      </c>
      <c r="Q237" s="12">
        <f t="shared" si="140"/>
        <v>31.036199999999916</v>
      </c>
      <c r="R237" s="12">
        <f t="shared" si="141"/>
        <v>29.030399999999929</v>
      </c>
      <c r="S237" s="12">
        <f t="shared" si="142"/>
        <v>0</v>
      </c>
      <c r="T237" s="12">
        <f t="shared" si="143"/>
        <v>0</v>
      </c>
      <c r="U237" s="43">
        <f>IF(OR(A237=Kontenplan!$C$3,A237=Kontenplan!$C$5),F237-G237,G237-F237)</f>
        <v>0</v>
      </c>
      <c r="V237" s="171">
        <f t="shared" si="126"/>
        <v>231</v>
      </c>
      <c r="W237" s="12">
        <f t="shared" si="127"/>
        <v>204</v>
      </c>
      <c r="X237" s="12">
        <f t="shared" si="128"/>
        <v>206</v>
      </c>
      <c r="Y237" s="12">
        <f>IF(Z237=0,VLOOKUP(W237,Kontenplan!$Y$9:$AA$551,3),"")</f>
        <v>0</v>
      </c>
      <c r="Z237" s="12">
        <f t="shared" si="144"/>
        <v>0</v>
      </c>
      <c r="AA237" s="12" t="str">
        <f t="shared" ca="1" si="145"/>
        <v/>
      </c>
      <c r="AB237" s="46" t="str">
        <f t="shared" ca="1" si="146"/>
        <v/>
      </c>
      <c r="AC237" s="46" t="str">
        <f t="shared" ca="1" si="147"/>
        <v/>
      </c>
      <c r="AD237" s="47"/>
      <c r="AE237" s="12">
        <f>IF(AF237=0,VLOOKUP(X237,Kontenplan!$Z$9:$AB$551,3),"")</f>
        <v>0</v>
      </c>
      <c r="AF237" s="47">
        <f t="shared" si="148"/>
        <v>0</v>
      </c>
      <c r="AG237" s="12" t="str">
        <f t="shared" ca="1" si="149"/>
        <v/>
      </c>
      <c r="AH237" s="46" t="str">
        <f t="shared" ca="1" si="150"/>
        <v/>
      </c>
      <c r="AI237" s="46" t="str">
        <f t="shared" ca="1" si="151"/>
        <v/>
      </c>
      <c r="AJ237" s="46"/>
      <c r="AK237" s="147">
        <f t="shared" ca="1" si="152"/>
        <v>2.0221000000000466</v>
      </c>
      <c r="AL237" s="147">
        <f t="shared" si="153"/>
        <v>2.0224000000000473</v>
      </c>
      <c r="AM237" s="12" t="str">
        <f>IF(V237&lt;=AO$3,VLOOKUP(V237,Kontenplan!$A$9:$D$278,4),"")</f>
        <v/>
      </c>
      <c r="AN237" s="12">
        <f t="shared" si="154"/>
        <v>0</v>
      </c>
      <c r="AO237" s="12" t="str">
        <f t="shared" ca="1" si="155"/>
        <v/>
      </c>
      <c r="AP237" s="46" t="str">
        <f t="shared" ca="1" si="156"/>
        <v/>
      </c>
      <c r="AQ237" s="46" t="str">
        <f t="shared" ca="1" si="157"/>
        <v/>
      </c>
      <c r="AR237" s="46"/>
      <c r="AS237" s="147">
        <f t="shared" ca="1" si="158"/>
        <v>3.0220000000000464</v>
      </c>
      <c r="AT237" s="147">
        <f t="shared" si="159"/>
        <v>2.0225000000000475</v>
      </c>
      <c r="AU237" s="47" t="str">
        <f>IF(V237&lt;=AW$3,VLOOKUP(AO$3+V237,Kontenplan!$A$9:$D$278,4),"")</f>
        <v/>
      </c>
      <c r="AV237" s="12">
        <f t="shared" si="160"/>
        <v>0</v>
      </c>
      <c r="AW237" s="12" t="str">
        <f t="shared" ca="1" si="161"/>
        <v/>
      </c>
      <c r="AX237" s="46" t="str">
        <f t="shared" ca="1" si="129"/>
        <v/>
      </c>
      <c r="AY237" s="46" t="str">
        <f t="shared" ca="1" si="162"/>
        <v/>
      </c>
      <c r="AZ237" s="12"/>
      <c r="BA237" s="12">
        <f>Kontenplan!R239</f>
        <v>3</v>
      </c>
      <c r="BB237" s="12">
        <f>Kontenplan!S239</f>
        <v>2</v>
      </c>
      <c r="BC237" s="12">
        <f>Kontenplan!T239</f>
        <v>4</v>
      </c>
      <c r="BD237" s="170">
        <f>Kontenplan!U239</f>
        <v>4</v>
      </c>
      <c r="BE237" s="12"/>
      <c r="BF237" s="24">
        <f ca="1">SUM(AP$7:AP237)</f>
        <v>0</v>
      </c>
      <c r="BG237" s="46">
        <f ca="1">SUM(AQ$7:AQ236)</f>
        <v>0</v>
      </c>
      <c r="BH237" s="24">
        <f t="shared" ca="1" si="163"/>
        <v>0</v>
      </c>
      <c r="BI237" s="24"/>
      <c r="BJ237" s="24">
        <f ca="1">SUM(AX$7:AX237)</f>
        <v>0</v>
      </c>
      <c r="BK237" s="24">
        <f ca="1">SUM(AY$7:AY236)</f>
        <v>0</v>
      </c>
      <c r="BL237" s="24">
        <f t="shared" ca="1" si="164"/>
        <v>0</v>
      </c>
      <c r="BM237" s="12"/>
      <c r="BN237" s="24">
        <f ca="1">SUM(AB$7:AB237)</f>
        <v>0</v>
      </c>
      <c r="BO237" s="46">
        <f ca="1">SUM(AC$7:AC236)</f>
        <v>0</v>
      </c>
      <c r="BP237" s="24">
        <f t="shared" ca="1" si="165"/>
        <v>0</v>
      </c>
      <c r="BQ237" s="12"/>
      <c r="BR237" s="24">
        <f ca="1">SUM(AH$7:AH237)</f>
        <v>0</v>
      </c>
      <c r="BS237" s="46">
        <f ca="1">SUM(AI$7:AI236)</f>
        <v>0</v>
      </c>
      <c r="BT237" s="24">
        <f t="shared" ca="1" si="166"/>
        <v>0</v>
      </c>
    </row>
    <row r="238" spans="1:72">
      <c r="A238" s="202">
        <f>Kontenplan!C240</f>
        <v>0</v>
      </c>
      <c r="B238" s="224">
        <f>Kontenplan!E240</f>
        <v>0</v>
      </c>
      <c r="C238" s="225">
        <f>Kontenplan!F240</f>
        <v>0</v>
      </c>
      <c r="D238" s="43">
        <f>IF(B238=0,0,SUMIF(Journal!$F$7:$F$83,Calc!B238,Journal!$I$7:$I$83))</f>
        <v>0</v>
      </c>
      <c r="E238" s="15">
        <f>IF(B238=0,0,SUMIF(Journal!$G$7:$M312,Calc!B238,Journal!$I$7:$I$83))</f>
        <v>0</v>
      </c>
      <c r="F238" s="44">
        <f t="shared" si="130"/>
        <v>0</v>
      </c>
      <c r="G238" s="15">
        <f t="shared" si="131"/>
        <v>0</v>
      </c>
      <c r="H238" s="14" t="str">
        <f t="shared" si="132"/>
        <v xml:space="preserve"> </v>
      </c>
      <c r="I238" s="43" t="str">
        <f t="shared" si="133"/>
        <v xml:space="preserve"> </v>
      </c>
      <c r="J238" s="45" t="str">
        <f t="shared" si="134"/>
        <v xml:space="preserve"> </v>
      </c>
      <c r="K238" s="48" t="str">
        <f t="shared" si="135"/>
        <v xml:space="preserve"> </v>
      </c>
      <c r="L238" s="45" t="str">
        <f t="shared" si="136"/>
        <v xml:space="preserve"> </v>
      </c>
      <c r="M238" s="48" t="str">
        <f t="shared" si="137"/>
        <v xml:space="preserve"> </v>
      </c>
      <c r="N238" s="24"/>
      <c r="O238" s="12">
        <f t="shared" si="138"/>
        <v>10.044399999999897</v>
      </c>
      <c r="P238" s="12">
        <f t="shared" si="139"/>
        <v>9.0425999999999007</v>
      </c>
      <c r="Q238" s="12">
        <f t="shared" si="140"/>
        <v>31.036399999999915</v>
      </c>
      <c r="R238" s="12">
        <f t="shared" si="141"/>
        <v>29.030599999999929</v>
      </c>
      <c r="S238" s="12">
        <f t="shared" si="142"/>
        <v>0</v>
      </c>
      <c r="T238" s="12">
        <f t="shared" si="143"/>
        <v>0</v>
      </c>
      <c r="U238" s="43">
        <f>IF(OR(A238=Kontenplan!$C$3,A238=Kontenplan!$C$5),F238-G238,G238-F238)</f>
        <v>0</v>
      </c>
      <c r="V238" s="171">
        <f t="shared" si="126"/>
        <v>232</v>
      </c>
      <c r="W238" s="12">
        <f t="shared" si="127"/>
        <v>205</v>
      </c>
      <c r="X238" s="12">
        <f t="shared" si="128"/>
        <v>207</v>
      </c>
      <c r="Y238" s="12">
        <f>IF(Z238=0,VLOOKUP(W238,Kontenplan!$Y$9:$AA$551,3),"")</f>
        <v>0</v>
      </c>
      <c r="Z238" s="12">
        <f t="shared" si="144"/>
        <v>0</v>
      </c>
      <c r="AA238" s="12" t="str">
        <f t="shared" ca="1" si="145"/>
        <v/>
      </c>
      <c r="AB238" s="46" t="str">
        <f t="shared" ca="1" si="146"/>
        <v/>
      </c>
      <c r="AC238" s="46" t="str">
        <f t="shared" ca="1" si="147"/>
        <v/>
      </c>
      <c r="AD238" s="47"/>
      <c r="AE238" s="12">
        <f>IF(AF238=0,VLOOKUP(X238,Kontenplan!$Z$9:$AB$551,3),"")</f>
        <v>0</v>
      </c>
      <c r="AF238" s="47">
        <f t="shared" si="148"/>
        <v>0</v>
      </c>
      <c r="AG238" s="12" t="str">
        <f t="shared" ca="1" si="149"/>
        <v/>
      </c>
      <c r="AH238" s="46" t="str">
        <f t="shared" ca="1" si="150"/>
        <v/>
      </c>
      <c r="AI238" s="46" t="str">
        <f t="shared" ca="1" si="151"/>
        <v/>
      </c>
      <c r="AJ238" s="46"/>
      <c r="AK238" s="147">
        <f t="shared" ca="1" si="152"/>
        <v>2.0222000000000468</v>
      </c>
      <c r="AL238" s="147">
        <f t="shared" si="153"/>
        <v>2.0225000000000475</v>
      </c>
      <c r="AM238" s="12" t="str">
        <f>IF(V238&lt;=AO$3,VLOOKUP(V238,Kontenplan!$A$9:$D$278,4),"")</f>
        <v/>
      </c>
      <c r="AN238" s="12">
        <f t="shared" si="154"/>
        <v>0</v>
      </c>
      <c r="AO238" s="12" t="str">
        <f t="shared" ca="1" si="155"/>
        <v/>
      </c>
      <c r="AP238" s="46" t="str">
        <f t="shared" ca="1" si="156"/>
        <v/>
      </c>
      <c r="AQ238" s="46" t="str">
        <f t="shared" ca="1" si="157"/>
        <v/>
      </c>
      <c r="AR238" s="46"/>
      <c r="AS238" s="147">
        <f t="shared" ca="1" si="158"/>
        <v>3.0221000000000466</v>
      </c>
      <c r="AT238" s="147">
        <f t="shared" si="159"/>
        <v>2.0226000000000477</v>
      </c>
      <c r="AU238" s="47" t="str">
        <f>IF(V238&lt;=AW$3,VLOOKUP(AO$3+V238,Kontenplan!$A$9:$D$278,4),"")</f>
        <v/>
      </c>
      <c r="AV238" s="12">
        <f t="shared" si="160"/>
        <v>0</v>
      </c>
      <c r="AW238" s="12" t="str">
        <f t="shared" ca="1" si="161"/>
        <v/>
      </c>
      <c r="AX238" s="46" t="str">
        <f t="shared" ca="1" si="129"/>
        <v/>
      </c>
      <c r="AY238" s="46" t="str">
        <f t="shared" ca="1" si="162"/>
        <v/>
      </c>
      <c r="AZ238" s="12"/>
      <c r="BA238" s="12">
        <f>Kontenplan!R240</f>
        <v>3</v>
      </c>
      <c r="BB238" s="12">
        <f>Kontenplan!S240</f>
        <v>2</v>
      </c>
      <c r="BC238" s="12">
        <f>Kontenplan!T240</f>
        <v>4</v>
      </c>
      <c r="BD238" s="170">
        <f>Kontenplan!U240</f>
        <v>4</v>
      </c>
      <c r="BE238" s="12"/>
      <c r="BF238" s="24">
        <f ca="1">SUM(AP$7:AP238)</f>
        <v>0</v>
      </c>
      <c r="BG238" s="46">
        <f ca="1">SUM(AQ$7:AQ237)</f>
        <v>0</v>
      </c>
      <c r="BH238" s="24">
        <f t="shared" ca="1" si="163"/>
        <v>0</v>
      </c>
      <c r="BI238" s="24"/>
      <c r="BJ238" s="24">
        <f ca="1">SUM(AX$7:AX238)</f>
        <v>0</v>
      </c>
      <c r="BK238" s="24">
        <f ca="1">SUM(AY$7:AY237)</f>
        <v>0</v>
      </c>
      <c r="BL238" s="24">
        <f t="shared" ca="1" si="164"/>
        <v>0</v>
      </c>
      <c r="BM238" s="12"/>
      <c r="BN238" s="24">
        <f ca="1">SUM(AB$7:AB238)</f>
        <v>0</v>
      </c>
      <c r="BO238" s="46">
        <f ca="1">SUM(AC$7:AC237)</f>
        <v>0</v>
      </c>
      <c r="BP238" s="24">
        <f t="shared" ca="1" si="165"/>
        <v>0</v>
      </c>
      <c r="BQ238" s="12"/>
      <c r="BR238" s="24">
        <f ca="1">SUM(AH$7:AH238)</f>
        <v>0</v>
      </c>
      <c r="BS238" s="46">
        <f ca="1">SUM(AI$7:AI237)</f>
        <v>0</v>
      </c>
      <c r="BT238" s="24">
        <f t="shared" ca="1" si="166"/>
        <v>0</v>
      </c>
    </row>
    <row r="239" spans="1:72">
      <c r="A239" s="202">
        <f>Kontenplan!C241</f>
        <v>0</v>
      </c>
      <c r="B239" s="224">
        <f>Kontenplan!E241</f>
        <v>0</v>
      </c>
      <c r="C239" s="225">
        <f>Kontenplan!F241</f>
        <v>0</v>
      </c>
      <c r="D239" s="43">
        <f>IF(B239=0,0,SUMIF(Journal!$F$7:$F$83,Calc!B239,Journal!$I$7:$I$83))</f>
        <v>0</v>
      </c>
      <c r="E239" s="15">
        <f>IF(B239=0,0,SUMIF(Journal!$G$7:$M313,Calc!B239,Journal!$I$7:$I$83))</f>
        <v>0</v>
      </c>
      <c r="F239" s="44">
        <f t="shared" si="130"/>
        <v>0</v>
      </c>
      <c r="G239" s="15">
        <f t="shared" si="131"/>
        <v>0</v>
      </c>
      <c r="H239" s="14" t="str">
        <f t="shared" si="132"/>
        <v xml:space="preserve"> </v>
      </c>
      <c r="I239" s="43" t="str">
        <f t="shared" si="133"/>
        <v xml:space="preserve"> </v>
      </c>
      <c r="J239" s="45" t="str">
        <f t="shared" si="134"/>
        <v xml:space="preserve"> </v>
      </c>
      <c r="K239" s="48" t="str">
        <f t="shared" si="135"/>
        <v xml:space="preserve"> </v>
      </c>
      <c r="L239" s="45" t="str">
        <f t="shared" si="136"/>
        <v xml:space="preserve"> </v>
      </c>
      <c r="M239" s="48" t="str">
        <f t="shared" si="137"/>
        <v xml:space="preserve"> </v>
      </c>
      <c r="N239" s="24"/>
      <c r="O239" s="12">
        <f t="shared" si="138"/>
        <v>10.044599999999896</v>
      </c>
      <c r="P239" s="12">
        <f t="shared" si="139"/>
        <v>9.0427999999999003</v>
      </c>
      <c r="Q239" s="12">
        <f t="shared" si="140"/>
        <v>31.036599999999915</v>
      </c>
      <c r="R239" s="12">
        <f t="shared" si="141"/>
        <v>29.030799999999928</v>
      </c>
      <c r="S239" s="12">
        <f t="shared" si="142"/>
        <v>0</v>
      </c>
      <c r="T239" s="12">
        <f t="shared" si="143"/>
        <v>0</v>
      </c>
      <c r="U239" s="43">
        <f>IF(OR(A239=Kontenplan!$C$3,A239=Kontenplan!$C$5),F239-G239,G239-F239)</f>
        <v>0</v>
      </c>
      <c r="V239" s="171">
        <f t="shared" si="126"/>
        <v>233</v>
      </c>
      <c r="W239" s="12">
        <f t="shared" si="127"/>
        <v>206</v>
      </c>
      <c r="X239" s="12">
        <f t="shared" si="128"/>
        <v>208</v>
      </c>
      <c r="Y239" s="12">
        <f>IF(Z239=0,VLOOKUP(W239,Kontenplan!$Y$9:$AA$551,3),"")</f>
        <v>0</v>
      </c>
      <c r="Z239" s="12">
        <f t="shared" si="144"/>
        <v>0</v>
      </c>
      <c r="AA239" s="12" t="str">
        <f t="shared" ca="1" si="145"/>
        <v/>
      </c>
      <c r="AB239" s="46" t="str">
        <f t="shared" ca="1" si="146"/>
        <v/>
      </c>
      <c r="AC239" s="46" t="str">
        <f t="shared" ca="1" si="147"/>
        <v/>
      </c>
      <c r="AD239" s="47"/>
      <c r="AE239" s="12">
        <f>IF(AF239=0,VLOOKUP(X239,Kontenplan!$Z$9:$AB$551,3),"")</f>
        <v>0</v>
      </c>
      <c r="AF239" s="47">
        <f t="shared" si="148"/>
        <v>0</v>
      </c>
      <c r="AG239" s="12" t="str">
        <f t="shared" ca="1" si="149"/>
        <v/>
      </c>
      <c r="AH239" s="46" t="str">
        <f t="shared" ca="1" si="150"/>
        <v/>
      </c>
      <c r="AI239" s="46" t="str">
        <f t="shared" ca="1" si="151"/>
        <v/>
      </c>
      <c r="AJ239" s="46"/>
      <c r="AK239" s="147">
        <f t="shared" ca="1" si="152"/>
        <v>2.0223000000000471</v>
      </c>
      <c r="AL239" s="147">
        <f t="shared" si="153"/>
        <v>2.0226000000000477</v>
      </c>
      <c r="AM239" s="12" t="str">
        <f>IF(V239&lt;=AO$3,VLOOKUP(V239,Kontenplan!$A$9:$D$278,4),"")</f>
        <v/>
      </c>
      <c r="AN239" s="12">
        <f t="shared" si="154"/>
        <v>0</v>
      </c>
      <c r="AO239" s="12" t="str">
        <f t="shared" ca="1" si="155"/>
        <v/>
      </c>
      <c r="AP239" s="46" t="str">
        <f t="shared" ca="1" si="156"/>
        <v/>
      </c>
      <c r="AQ239" s="46" t="str">
        <f t="shared" ca="1" si="157"/>
        <v/>
      </c>
      <c r="AR239" s="46"/>
      <c r="AS239" s="147">
        <f t="shared" ca="1" si="158"/>
        <v>3.0222000000000468</v>
      </c>
      <c r="AT239" s="147">
        <f t="shared" si="159"/>
        <v>2.0227000000000479</v>
      </c>
      <c r="AU239" s="47" t="str">
        <f>IF(V239&lt;=AW$3,VLOOKUP(AO$3+V239,Kontenplan!$A$9:$D$278,4),"")</f>
        <v/>
      </c>
      <c r="AV239" s="12">
        <f t="shared" si="160"/>
        <v>0</v>
      </c>
      <c r="AW239" s="12" t="str">
        <f t="shared" ca="1" si="161"/>
        <v/>
      </c>
      <c r="AX239" s="46" t="str">
        <f t="shared" ca="1" si="129"/>
        <v/>
      </c>
      <c r="AY239" s="46" t="str">
        <f t="shared" ca="1" si="162"/>
        <v/>
      </c>
      <c r="AZ239" s="12"/>
      <c r="BA239" s="12">
        <f>Kontenplan!R241</f>
        <v>3</v>
      </c>
      <c r="BB239" s="12">
        <f>Kontenplan!S241</f>
        <v>2</v>
      </c>
      <c r="BC239" s="12">
        <f>Kontenplan!T241</f>
        <v>4</v>
      </c>
      <c r="BD239" s="170">
        <f>Kontenplan!U241</f>
        <v>4</v>
      </c>
      <c r="BE239" s="12"/>
      <c r="BF239" s="24">
        <f ca="1">SUM(AP$7:AP239)</f>
        <v>0</v>
      </c>
      <c r="BG239" s="46">
        <f ca="1">SUM(AQ$7:AQ238)</f>
        <v>0</v>
      </c>
      <c r="BH239" s="24">
        <f t="shared" ca="1" si="163"/>
        <v>0</v>
      </c>
      <c r="BI239" s="24"/>
      <c r="BJ239" s="24">
        <f ca="1">SUM(AX$7:AX239)</f>
        <v>0</v>
      </c>
      <c r="BK239" s="24">
        <f ca="1">SUM(AY$7:AY238)</f>
        <v>0</v>
      </c>
      <c r="BL239" s="24">
        <f t="shared" ca="1" si="164"/>
        <v>0</v>
      </c>
      <c r="BM239" s="12"/>
      <c r="BN239" s="24">
        <f ca="1">SUM(AB$7:AB239)</f>
        <v>0</v>
      </c>
      <c r="BO239" s="46">
        <f ca="1">SUM(AC$7:AC238)</f>
        <v>0</v>
      </c>
      <c r="BP239" s="24">
        <f t="shared" ca="1" si="165"/>
        <v>0</v>
      </c>
      <c r="BQ239" s="12"/>
      <c r="BR239" s="24">
        <f ca="1">SUM(AH$7:AH239)</f>
        <v>0</v>
      </c>
      <c r="BS239" s="46">
        <f ca="1">SUM(AI$7:AI238)</f>
        <v>0</v>
      </c>
      <c r="BT239" s="24">
        <f t="shared" ca="1" si="166"/>
        <v>0</v>
      </c>
    </row>
    <row r="240" spans="1:72">
      <c r="A240" s="202">
        <f>Kontenplan!C242</f>
        <v>0</v>
      </c>
      <c r="B240" s="224">
        <f>Kontenplan!E242</f>
        <v>0</v>
      </c>
      <c r="C240" s="225">
        <f>Kontenplan!F242</f>
        <v>0</v>
      </c>
      <c r="D240" s="43">
        <f>IF(B240=0,0,SUMIF(Journal!$F$7:$F$83,Calc!B240,Journal!$I$7:$I$83))</f>
        <v>0</v>
      </c>
      <c r="E240" s="15">
        <f>IF(B240=0,0,SUMIF(Journal!$G$7:$M314,Calc!B240,Journal!$I$7:$I$83))</f>
        <v>0</v>
      </c>
      <c r="F240" s="44">
        <f t="shared" si="130"/>
        <v>0</v>
      </c>
      <c r="G240" s="15">
        <f t="shared" si="131"/>
        <v>0</v>
      </c>
      <c r="H240" s="14" t="str">
        <f t="shared" si="132"/>
        <v xml:space="preserve"> </v>
      </c>
      <c r="I240" s="43" t="str">
        <f t="shared" si="133"/>
        <v xml:space="preserve"> </v>
      </c>
      <c r="J240" s="45" t="str">
        <f t="shared" si="134"/>
        <v xml:space="preserve"> </v>
      </c>
      <c r="K240" s="48" t="str">
        <f t="shared" si="135"/>
        <v xml:space="preserve"> </v>
      </c>
      <c r="L240" s="45" t="str">
        <f t="shared" si="136"/>
        <v xml:space="preserve"> </v>
      </c>
      <c r="M240" s="48" t="str">
        <f t="shared" si="137"/>
        <v xml:space="preserve"> </v>
      </c>
      <c r="N240" s="24"/>
      <c r="O240" s="12">
        <f t="shared" si="138"/>
        <v>10.044799999999896</v>
      </c>
      <c r="P240" s="12">
        <f t="shared" si="139"/>
        <v>9.0429999999998998</v>
      </c>
      <c r="Q240" s="12">
        <f t="shared" si="140"/>
        <v>31.036799999999914</v>
      </c>
      <c r="R240" s="12">
        <f t="shared" si="141"/>
        <v>29.030999999999928</v>
      </c>
      <c r="S240" s="12">
        <f t="shared" si="142"/>
        <v>0</v>
      </c>
      <c r="T240" s="12">
        <f t="shared" si="143"/>
        <v>0</v>
      </c>
      <c r="U240" s="43">
        <f>IF(OR(A240=Kontenplan!$C$3,A240=Kontenplan!$C$5),F240-G240,G240-F240)</f>
        <v>0</v>
      </c>
      <c r="V240" s="171">
        <f t="shared" si="126"/>
        <v>234</v>
      </c>
      <c r="W240" s="12">
        <f t="shared" si="127"/>
        <v>207</v>
      </c>
      <c r="X240" s="12">
        <f t="shared" si="128"/>
        <v>209</v>
      </c>
      <c r="Y240" s="12">
        <f>IF(Z240=0,VLOOKUP(W240,Kontenplan!$Y$9:$AA$551,3),"")</f>
        <v>0</v>
      </c>
      <c r="Z240" s="12">
        <f t="shared" si="144"/>
        <v>0</v>
      </c>
      <c r="AA240" s="12" t="str">
        <f t="shared" ca="1" si="145"/>
        <v/>
      </c>
      <c r="AB240" s="46" t="str">
        <f t="shared" ca="1" si="146"/>
        <v/>
      </c>
      <c r="AC240" s="46" t="str">
        <f t="shared" ca="1" si="147"/>
        <v/>
      </c>
      <c r="AD240" s="47"/>
      <c r="AE240" s="12">
        <f>IF(AF240=0,VLOOKUP(X240,Kontenplan!$Z$9:$AB$551,3),"")</f>
        <v>0</v>
      </c>
      <c r="AF240" s="47">
        <f t="shared" si="148"/>
        <v>0</v>
      </c>
      <c r="AG240" s="12" t="str">
        <f t="shared" ca="1" si="149"/>
        <v/>
      </c>
      <c r="AH240" s="46" t="str">
        <f t="shared" ca="1" si="150"/>
        <v/>
      </c>
      <c r="AI240" s="46" t="str">
        <f t="shared" ca="1" si="151"/>
        <v/>
      </c>
      <c r="AJ240" s="46"/>
      <c r="AK240" s="147">
        <f t="shared" ca="1" si="152"/>
        <v>2.0224000000000473</v>
      </c>
      <c r="AL240" s="147">
        <f t="shared" si="153"/>
        <v>2.0227000000000479</v>
      </c>
      <c r="AM240" s="12" t="str">
        <f>IF(V240&lt;=AO$3,VLOOKUP(V240,Kontenplan!$A$9:$D$278,4),"")</f>
        <v/>
      </c>
      <c r="AN240" s="12">
        <f t="shared" si="154"/>
        <v>0</v>
      </c>
      <c r="AO240" s="12" t="str">
        <f t="shared" ca="1" si="155"/>
        <v/>
      </c>
      <c r="AP240" s="46" t="str">
        <f t="shared" ca="1" si="156"/>
        <v/>
      </c>
      <c r="AQ240" s="46" t="str">
        <f t="shared" ca="1" si="157"/>
        <v/>
      </c>
      <c r="AR240" s="46"/>
      <c r="AS240" s="147">
        <f t="shared" ca="1" si="158"/>
        <v>3.0223000000000471</v>
      </c>
      <c r="AT240" s="147">
        <f t="shared" si="159"/>
        <v>2.0228000000000481</v>
      </c>
      <c r="AU240" s="47" t="str">
        <f>IF(V240&lt;=AW$3,VLOOKUP(AO$3+V240,Kontenplan!$A$9:$D$278,4),"")</f>
        <v/>
      </c>
      <c r="AV240" s="12">
        <f t="shared" si="160"/>
        <v>0</v>
      </c>
      <c r="AW240" s="12" t="str">
        <f t="shared" ca="1" si="161"/>
        <v/>
      </c>
      <c r="AX240" s="46" t="str">
        <f t="shared" ca="1" si="129"/>
        <v/>
      </c>
      <c r="AY240" s="46" t="str">
        <f t="shared" ca="1" si="162"/>
        <v/>
      </c>
      <c r="AZ240" s="12"/>
      <c r="BA240" s="12">
        <f>Kontenplan!R242</f>
        <v>3</v>
      </c>
      <c r="BB240" s="12">
        <f>Kontenplan!S242</f>
        <v>2</v>
      </c>
      <c r="BC240" s="12">
        <f>Kontenplan!T242</f>
        <v>4</v>
      </c>
      <c r="BD240" s="170">
        <f>Kontenplan!U242</f>
        <v>4</v>
      </c>
      <c r="BE240" s="12"/>
      <c r="BF240" s="24">
        <f ca="1">SUM(AP$7:AP240)</f>
        <v>0</v>
      </c>
      <c r="BG240" s="46">
        <f ca="1">SUM(AQ$7:AQ239)</f>
        <v>0</v>
      </c>
      <c r="BH240" s="24">
        <f t="shared" ca="1" si="163"/>
        <v>0</v>
      </c>
      <c r="BI240" s="24"/>
      <c r="BJ240" s="24">
        <f ca="1">SUM(AX$7:AX240)</f>
        <v>0</v>
      </c>
      <c r="BK240" s="24">
        <f ca="1">SUM(AY$7:AY239)</f>
        <v>0</v>
      </c>
      <c r="BL240" s="24">
        <f t="shared" ca="1" si="164"/>
        <v>0</v>
      </c>
      <c r="BM240" s="12"/>
      <c r="BN240" s="24">
        <f ca="1">SUM(AB$7:AB240)</f>
        <v>0</v>
      </c>
      <c r="BO240" s="46">
        <f ca="1">SUM(AC$7:AC239)</f>
        <v>0</v>
      </c>
      <c r="BP240" s="24">
        <f t="shared" ca="1" si="165"/>
        <v>0</v>
      </c>
      <c r="BQ240" s="12"/>
      <c r="BR240" s="24">
        <f ca="1">SUM(AH$7:AH240)</f>
        <v>0</v>
      </c>
      <c r="BS240" s="46">
        <f ca="1">SUM(AI$7:AI239)</f>
        <v>0</v>
      </c>
      <c r="BT240" s="24">
        <f t="shared" ca="1" si="166"/>
        <v>0</v>
      </c>
    </row>
    <row r="241" spans="1:72">
      <c r="A241" s="202">
        <f>Kontenplan!C243</f>
        <v>0</v>
      </c>
      <c r="B241" s="224">
        <f>Kontenplan!E243</f>
        <v>0</v>
      </c>
      <c r="C241" s="225">
        <f>Kontenplan!F243</f>
        <v>0</v>
      </c>
      <c r="D241" s="43">
        <f>IF(B241=0,0,SUMIF(Journal!$F$7:$F$83,Calc!B241,Journal!$I$7:$I$83))</f>
        <v>0</v>
      </c>
      <c r="E241" s="15">
        <f>IF(B241=0,0,SUMIF(Journal!$G$7:$M315,Calc!B241,Journal!$I$7:$I$83))</f>
        <v>0</v>
      </c>
      <c r="F241" s="44">
        <f t="shared" si="130"/>
        <v>0</v>
      </c>
      <c r="G241" s="15">
        <f t="shared" si="131"/>
        <v>0</v>
      </c>
      <c r="H241" s="14" t="str">
        <f t="shared" si="132"/>
        <v xml:space="preserve"> </v>
      </c>
      <c r="I241" s="43" t="str">
        <f t="shared" si="133"/>
        <v xml:space="preserve"> </v>
      </c>
      <c r="J241" s="45" t="str">
        <f t="shared" si="134"/>
        <v xml:space="preserve"> </v>
      </c>
      <c r="K241" s="48" t="str">
        <f t="shared" si="135"/>
        <v xml:space="preserve"> </v>
      </c>
      <c r="L241" s="45" t="str">
        <f t="shared" si="136"/>
        <v xml:space="preserve"> </v>
      </c>
      <c r="M241" s="48" t="str">
        <f t="shared" si="137"/>
        <v xml:space="preserve"> </v>
      </c>
      <c r="N241" s="24"/>
      <c r="O241" s="12">
        <f t="shared" si="138"/>
        <v>10.044999999999895</v>
      </c>
      <c r="P241" s="12">
        <f t="shared" si="139"/>
        <v>9.0431999999998993</v>
      </c>
      <c r="Q241" s="12">
        <f t="shared" si="140"/>
        <v>31.036999999999914</v>
      </c>
      <c r="R241" s="12">
        <f t="shared" si="141"/>
        <v>29.031199999999927</v>
      </c>
      <c r="S241" s="12">
        <f t="shared" si="142"/>
        <v>0</v>
      </c>
      <c r="T241" s="12">
        <f t="shared" si="143"/>
        <v>0</v>
      </c>
      <c r="U241" s="43">
        <f>IF(OR(A241=Kontenplan!$C$3,A241=Kontenplan!$C$5),F241-G241,G241-F241)</f>
        <v>0</v>
      </c>
      <c r="V241" s="171">
        <f t="shared" si="126"/>
        <v>235</v>
      </c>
      <c r="W241" s="12">
        <f t="shared" si="127"/>
        <v>208</v>
      </c>
      <c r="X241" s="12">
        <f t="shared" si="128"/>
        <v>210</v>
      </c>
      <c r="Y241" s="12">
        <f>IF(Z241=0,VLOOKUP(W241,Kontenplan!$Y$9:$AA$551,3),"")</f>
        <v>0</v>
      </c>
      <c r="Z241" s="12">
        <f t="shared" si="144"/>
        <v>0</v>
      </c>
      <c r="AA241" s="12" t="str">
        <f t="shared" ca="1" si="145"/>
        <v/>
      </c>
      <c r="AB241" s="46" t="str">
        <f t="shared" ca="1" si="146"/>
        <v/>
      </c>
      <c r="AC241" s="46" t="str">
        <f t="shared" ca="1" si="147"/>
        <v/>
      </c>
      <c r="AD241" s="47"/>
      <c r="AE241" s="12">
        <f>IF(AF241=0,VLOOKUP(X241,Kontenplan!$Z$9:$AB$551,3),"")</f>
        <v>0</v>
      </c>
      <c r="AF241" s="47">
        <f t="shared" si="148"/>
        <v>0</v>
      </c>
      <c r="AG241" s="12" t="str">
        <f t="shared" ca="1" si="149"/>
        <v/>
      </c>
      <c r="AH241" s="46" t="str">
        <f t="shared" ca="1" si="150"/>
        <v/>
      </c>
      <c r="AI241" s="46" t="str">
        <f t="shared" ca="1" si="151"/>
        <v/>
      </c>
      <c r="AJ241" s="46"/>
      <c r="AK241" s="147">
        <f t="shared" ca="1" si="152"/>
        <v>2.0225000000000475</v>
      </c>
      <c r="AL241" s="147">
        <f t="shared" si="153"/>
        <v>2.0228000000000481</v>
      </c>
      <c r="AM241" s="12" t="str">
        <f>IF(V241&lt;=AO$3,VLOOKUP(V241,Kontenplan!$A$9:$D$278,4),"")</f>
        <v/>
      </c>
      <c r="AN241" s="12">
        <f t="shared" si="154"/>
        <v>0</v>
      </c>
      <c r="AO241" s="12" t="str">
        <f t="shared" ca="1" si="155"/>
        <v/>
      </c>
      <c r="AP241" s="46" t="str">
        <f t="shared" ca="1" si="156"/>
        <v/>
      </c>
      <c r="AQ241" s="46" t="str">
        <f t="shared" ca="1" si="157"/>
        <v/>
      </c>
      <c r="AR241" s="46"/>
      <c r="AS241" s="147">
        <f t="shared" ca="1" si="158"/>
        <v>3.0224000000000473</v>
      </c>
      <c r="AT241" s="147">
        <f t="shared" si="159"/>
        <v>2.0229000000000483</v>
      </c>
      <c r="AU241" s="47" t="str">
        <f>IF(V241&lt;=AW$3,VLOOKUP(AO$3+V241,Kontenplan!$A$9:$D$278,4),"")</f>
        <v/>
      </c>
      <c r="AV241" s="12">
        <f t="shared" si="160"/>
        <v>0</v>
      </c>
      <c r="AW241" s="12" t="str">
        <f t="shared" ca="1" si="161"/>
        <v/>
      </c>
      <c r="AX241" s="46" t="str">
        <f t="shared" ca="1" si="129"/>
        <v/>
      </c>
      <c r="AY241" s="46" t="str">
        <f t="shared" ca="1" si="162"/>
        <v/>
      </c>
      <c r="AZ241" s="12"/>
      <c r="BA241" s="12">
        <f>Kontenplan!R243</f>
        <v>3</v>
      </c>
      <c r="BB241" s="12">
        <f>Kontenplan!S243</f>
        <v>2</v>
      </c>
      <c r="BC241" s="12">
        <f>Kontenplan!T243</f>
        <v>4</v>
      </c>
      <c r="BD241" s="170">
        <f>Kontenplan!U243</f>
        <v>4</v>
      </c>
      <c r="BE241" s="12"/>
      <c r="BF241" s="24">
        <f ca="1">SUM(AP$7:AP241)</f>
        <v>0</v>
      </c>
      <c r="BG241" s="46">
        <f ca="1">SUM(AQ$7:AQ240)</f>
        <v>0</v>
      </c>
      <c r="BH241" s="24">
        <f t="shared" ca="1" si="163"/>
        <v>0</v>
      </c>
      <c r="BI241" s="24"/>
      <c r="BJ241" s="24">
        <f ca="1">SUM(AX$7:AX241)</f>
        <v>0</v>
      </c>
      <c r="BK241" s="24">
        <f ca="1">SUM(AY$7:AY240)</f>
        <v>0</v>
      </c>
      <c r="BL241" s="24">
        <f t="shared" ca="1" si="164"/>
        <v>0</v>
      </c>
      <c r="BM241" s="12"/>
      <c r="BN241" s="24">
        <f ca="1">SUM(AB$7:AB241)</f>
        <v>0</v>
      </c>
      <c r="BO241" s="46">
        <f ca="1">SUM(AC$7:AC240)</f>
        <v>0</v>
      </c>
      <c r="BP241" s="24">
        <f t="shared" ca="1" si="165"/>
        <v>0</v>
      </c>
      <c r="BQ241" s="12"/>
      <c r="BR241" s="24">
        <f ca="1">SUM(AH$7:AH241)</f>
        <v>0</v>
      </c>
      <c r="BS241" s="46">
        <f ca="1">SUM(AI$7:AI240)</f>
        <v>0</v>
      </c>
      <c r="BT241" s="24">
        <f t="shared" ca="1" si="166"/>
        <v>0</v>
      </c>
    </row>
    <row r="242" spans="1:72">
      <c r="A242" s="202">
        <f>Kontenplan!C244</f>
        <v>0</v>
      </c>
      <c r="B242" s="224">
        <f>Kontenplan!E244</f>
        <v>0</v>
      </c>
      <c r="C242" s="225">
        <f>Kontenplan!F244</f>
        <v>0</v>
      </c>
      <c r="D242" s="43">
        <f>IF(B242=0,0,SUMIF(Journal!$F$7:$F$83,Calc!B242,Journal!$I$7:$I$83))</f>
        <v>0</v>
      </c>
      <c r="E242" s="15">
        <f>IF(B242=0,0,SUMIF(Journal!$G$7:$M316,Calc!B242,Journal!$I$7:$I$83))</f>
        <v>0</v>
      </c>
      <c r="F242" s="44">
        <f t="shared" si="130"/>
        <v>0</v>
      </c>
      <c r="G242" s="15">
        <f t="shared" si="131"/>
        <v>0</v>
      </c>
      <c r="H242" s="14" t="str">
        <f t="shared" si="132"/>
        <v xml:space="preserve"> </v>
      </c>
      <c r="I242" s="43" t="str">
        <f t="shared" si="133"/>
        <v xml:space="preserve"> </v>
      </c>
      <c r="J242" s="45" t="str">
        <f t="shared" si="134"/>
        <v xml:space="preserve"> </v>
      </c>
      <c r="K242" s="48" t="str">
        <f t="shared" si="135"/>
        <v xml:space="preserve"> </v>
      </c>
      <c r="L242" s="45" t="str">
        <f t="shared" si="136"/>
        <v xml:space="preserve"> </v>
      </c>
      <c r="M242" s="48" t="str">
        <f t="shared" si="137"/>
        <v xml:space="preserve"> </v>
      </c>
      <c r="N242" s="24"/>
      <c r="O242" s="12">
        <f t="shared" si="138"/>
        <v>10.045199999999895</v>
      </c>
      <c r="P242" s="12">
        <f t="shared" si="139"/>
        <v>9.0433999999998989</v>
      </c>
      <c r="Q242" s="12">
        <f t="shared" si="140"/>
        <v>31.037199999999913</v>
      </c>
      <c r="R242" s="12">
        <f t="shared" si="141"/>
        <v>29.031399999999927</v>
      </c>
      <c r="S242" s="12">
        <f t="shared" si="142"/>
        <v>0</v>
      </c>
      <c r="T242" s="12">
        <f t="shared" si="143"/>
        <v>0</v>
      </c>
      <c r="U242" s="43">
        <f>IF(OR(A242=Kontenplan!$C$3,A242=Kontenplan!$C$5),F242-G242,G242-F242)</f>
        <v>0</v>
      </c>
      <c r="V242" s="171">
        <f t="shared" si="126"/>
        <v>236</v>
      </c>
      <c r="W242" s="12">
        <f t="shared" si="127"/>
        <v>209</v>
      </c>
      <c r="X242" s="12">
        <f t="shared" si="128"/>
        <v>211</v>
      </c>
      <c r="Y242" s="12">
        <f>IF(Z242=0,VLOOKUP(W242,Kontenplan!$Y$9:$AA$551,3),"")</f>
        <v>0</v>
      </c>
      <c r="Z242" s="12">
        <f t="shared" si="144"/>
        <v>0</v>
      </c>
      <c r="AA242" s="12" t="str">
        <f t="shared" ca="1" si="145"/>
        <v/>
      </c>
      <c r="AB242" s="46" t="str">
        <f t="shared" ca="1" si="146"/>
        <v/>
      </c>
      <c r="AC242" s="46" t="str">
        <f t="shared" ca="1" si="147"/>
        <v/>
      </c>
      <c r="AD242" s="47"/>
      <c r="AE242" s="12">
        <f>IF(AF242=0,VLOOKUP(X242,Kontenplan!$Z$9:$AB$551,3),"")</f>
        <v>0</v>
      </c>
      <c r="AF242" s="47">
        <f t="shared" si="148"/>
        <v>0</v>
      </c>
      <c r="AG242" s="12" t="str">
        <f t="shared" ca="1" si="149"/>
        <v/>
      </c>
      <c r="AH242" s="46" t="str">
        <f t="shared" ca="1" si="150"/>
        <v/>
      </c>
      <c r="AI242" s="46" t="str">
        <f t="shared" ca="1" si="151"/>
        <v/>
      </c>
      <c r="AJ242" s="46"/>
      <c r="AK242" s="147">
        <f t="shared" ca="1" si="152"/>
        <v>2.0226000000000477</v>
      </c>
      <c r="AL242" s="147">
        <f t="shared" si="153"/>
        <v>2.0229000000000483</v>
      </c>
      <c r="AM242" s="12" t="str">
        <f>IF(V242&lt;=AO$3,VLOOKUP(V242,Kontenplan!$A$9:$D$278,4),"")</f>
        <v/>
      </c>
      <c r="AN242" s="12">
        <f t="shared" si="154"/>
        <v>0</v>
      </c>
      <c r="AO242" s="12" t="str">
        <f t="shared" ca="1" si="155"/>
        <v/>
      </c>
      <c r="AP242" s="46" t="str">
        <f t="shared" ca="1" si="156"/>
        <v/>
      </c>
      <c r="AQ242" s="46" t="str">
        <f t="shared" ca="1" si="157"/>
        <v/>
      </c>
      <c r="AR242" s="46"/>
      <c r="AS242" s="147">
        <f t="shared" ca="1" si="158"/>
        <v>3.0225000000000475</v>
      </c>
      <c r="AT242" s="147">
        <f t="shared" si="159"/>
        <v>2.0230000000000485</v>
      </c>
      <c r="AU242" s="47" t="str">
        <f>IF(V242&lt;=AW$3,VLOOKUP(AO$3+V242,Kontenplan!$A$9:$D$278,4),"")</f>
        <v/>
      </c>
      <c r="AV242" s="12">
        <f t="shared" si="160"/>
        <v>0</v>
      </c>
      <c r="AW242" s="12" t="str">
        <f t="shared" ca="1" si="161"/>
        <v/>
      </c>
      <c r="AX242" s="46" t="str">
        <f t="shared" ca="1" si="129"/>
        <v/>
      </c>
      <c r="AY242" s="46" t="str">
        <f t="shared" ca="1" si="162"/>
        <v/>
      </c>
      <c r="AZ242" s="12"/>
      <c r="BA242" s="12">
        <f>Kontenplan!R244</f>
        <v>3</v>
      </c>
      <c r="BB242" s="12">
        <f>Kontenplan!S244</f>
        <v>2</v>
      </c>
      <c r="BC242" s="12">
        <f>Kontenplan!T244</f>
        <v>4</v>
      </c>
      <c r="BD242" s="170">
        <f>Kontenplan!U244</f>
        <v>4</v>
      </c>
      <c r="BE242" s="12"/>
      <c r="BF242" s="24">
        <f ca="1">SUM(AP$7:AP242)</f>
        <v>0</v>
      </c>
      <c r="BG242" s="46">
        <f ca="1">SUM(AQ$7:AQ241)</f>
        <v>0</v>
      </c>
      <c r="BH242" s="24">
        <f t="shared" ca="1" si="163"/>
        <v>0</v>
      </c>
      <c r="BI242" s="24"/>
      <c r="BJ242" s="24">
        <f ca="1">SUM(AX$7:AX242)</f>
        <v>0</v>
      </c>
      <c r="BK242" s="24">
        <f ca="1">SUM(AY$7:AY241)</f>
        <v>0</v>
      </c>
      <c r="BL242" s="24">
        <f t="shared" ca="1" si="164"/>
        <v>0</v>
      </c>
      <c r="BM242" s="12"/>
      <c r="BN242" s="24">
        <f ca="1">SUM(AB$7:AB242)</f>
        <v>0</v>
      </c>
      <c r="BO242" s="46">
        <f ca="1">SUM(AC$7:AC241)</f>
        <v>0</v>
      </c>
      <c r="BP242" s="24">
        <f t="shared" ca="1" si="165"/>
        <v>0</v>
      </c>
      <c r="BQ242" s="12"/>
      <c r="BR242" s="24">
        <f ca="1">SUM(AH$7:AH242)</f>
        <v>0</v>
      </c>
      <c r="BS242" s="46">
        <f ca="1">SUM(AI$7:AI241)</f>
        <v>0</v>
      </c>
      <c r="BT242" s="24">
        <f t="shared" ca="1" si="166"/>
        <v>0</v>
      </c>
    </row>
    <row r="243" spans="1:72">
      <c r="A243" s="202">
        <f>Kontenplan!C245</f>
        <v>0</v>
      </c>
      <c r="B243" s="224">
        <f>Kontenplan!E245</f>
        <v>0</v>
      </c>
      <c r="C243" s="225">
        <f>Kontenplan!F245</f>
        <v>0</v>
      </c>
      <c r="D243" s="43">
        <f>IF(B243=0,0,SUMIF(Journal!$F$7:$F$83,Calc!B243,Journal!$I$7:$I$83))</f>
        <v>0</v>
      </c>
      <c r="E243" s="15">
        <f>IF(B243=0,0,SUMIF(Journal!$G$7:$M317,Calc!B243,Journal!$I$7:$I$83))</f>
        <v>0</v>
      </c>
      <c r="F243" s="44">
        <f t="shared" si="130"/>
        <v>0</v>
      </c>
      <c r="G243" s="15">
        <f t="shared" si="131"/>
        <v>0</v>
      </c>
      <c r="H243" s="14" t="str">
        <f t="shared" si="132"/>
        <v xml:space="preserve"> </v>
      </c>
      <c r="I243" s="43" t="str">
        <f t="shared" si="133"/>
        <v xml:space="preserve"> </v>
      </c>
      <c r="J243" s="45" t="str">
        <f t="shared" si="134"/>
        <v xml:space="preserve"> </v>
      </c>
      <c r="K243" s="48" t="str">
        <f t="shared" si="135"/>
        <v xml:space="preserve"> </v>
      </c>
      <c r="L243" s="45" t="str">
        <f t="shared" si="136"/>
        <v xml:space="preserve"> </v>
      </c>
      <c r="M243" s="48" t="str">
        <f t="shared" si="137"/>
        <v xml:space="preserve"> </v>
      </c>
      <c r="N243" s="24"/>
      <c r="O243" s="12">
        <f t="shared" si="138"/>
        <v>10.045399999999894</v>
      </c>
      <c r="P243" s="12">
        <f t="shared" si="139"/>
        <v>9.0435999999998984</v>
      </c>
      <c r="Q243" s="12">
        <f t="shared" si="140"/>
        <v>31.037399999999913</v>
      </c>
      <c r="R243" s="12">
        <f t="shared" si="141"/>
        <v>29.031599999999926</v>
      </c>
      <c r="S243" s="12">
        <f t="shared" si="142"/>
        <v>0</v>
      </c>
      <c r="T243" s="12">
        <f t="shared" si="143"/>
        <v>0</v>
      </c>
      <c r="U243" s="43">
        <f>IF(OR(A243=Kontenplan!$C$3,A243=Kontenplan!$C$5),F243-G243,G243-F243)</f>
        <v>0</v>
      </c>
      <c r="V243" s="171">
        <f t="shared" si="126"/>
        <v>237</v>
      </c>
      <c r="W243" s="12">
        <f t="shared" si="127"/>
        <v>210</v>
      </c>
      <c r="X243" s="12">
        <f t="shared" si="128"/>
        <v>212</v>
      </c>
      <c r="Y243" s="12">
        <f>IF(Z243=0,VLOOKUP(W243,Kontenplan!$Y$9:$AA$551,3),"")</f>
        <v>0</v>
      </c>
      <c r="Z243" s="12">
        <f t="shared" si="144"/>
        <v>0</v>
      </c>
      <c r="AA243" s="12" t="str">
        <f t="shared" ca="1" si="145"/>
        <v/>
      </c>
      <c r="AB243" s="46" t="str">
        <f t="shared" ca="1" si="146"/>
        <v/>
      </c>
      <c r="AC243" s="46" t="str">
        <f t="shared" ca="1" si="147"/>
        <v/>
      </c>
      <c r="AD243" s="47"/>
      <c r="AE243" s="12">
        <f>IF(AF243=0,VLOOKUP(X243,Kontenplan!$Z$9:$AB$551,3),"")</f>
        <v>0</v>
      </c>
      <c r="AF243" s="47">
        <f t="shared" si="148"/>
        <v>0</v>
      </c>
      <c r="AG243" s="12" t="str">
        <f t="shared" ca="1" si="149"/>
        <v/>
      </c>
      <c r="AH243" s="46" t="str">
        <f t="shared" ca="1" si="150"/>
        <v/>
      </c>
      <c r="AI243" s="46" t="str">
        <f t="shared" ca="1" si="151"/>
        <v/>
      </c>
      <c r="AJ243" s="46"/>
      <c r="AK243" s="147">
        <f t="shared" ca="1" si="152"/>
        <v>2.0227000000000479</v>
      </c>
      <c r="AL243" s="147">
        <f t="shared" si="153"/>
        <v>2.0230000000000485</v>
      </c>
      <c r="AM243" s="12" t="str">
        <f>IF(V243&lt;=AO$3,VLOOKUP(V243,Kontenplan!$A$9:$D$278,4),"")</f>
        <v/>
      </c>
      <c r="AN243" s="12">
        <f t="shared" si="154"/>
        <v>0</v>
      </c>
      <c r="AO243" s="12" t="str">
        <f t="shared" ca="1" si="155"/>
        <v/>
      </c>
      <c r="AP243" s="46" t="str">
        <f t="shared" ca="1" si="156"/>
        <v/>
      </c>
      <c r="AQ243" s="46" t="str">
        <f t="shared" ca="1" si="157"/>
        <v/>
      </c>
      <c r="AR243" s="46"/>
      <c r="AS243" s="147">
        <f t="shared" ca="1" si="158"/>
        <v>3.0226000000000477</v>
      </c>
      <c r="AT243" s="147">
        <f t="shared" si="159"/>
        <v>2.0231000000000487</v>
      </c>
      <c r="AU243" s="47" t="str">
        <f>IF(V243&lt;=AW$3,VLOOKUP(AO$3+V243,Kontenplan!$A$9:$D$278,4),"")</f>
        <v/>
      </c>
      <c r="AV243" s="12">
        <f t="shared" si="160"/>
        <v>0</v>
      </c>
      <c r="AW243" s="12" t="str">
        <f t="shared" ca="1" si="161"/>
        <v/>
      </c>
      <c r="AX243" s="46" t="str">
        <f t="shared" ca="1" si="129"/>
        <v/>
      </c>
      <c r="AY243" s="46" t="str">
        <f t="shared" ca="1" si="162"/>
        <v/>
      </c>
      <c r="AZ243" s="12"/>
      <c r="BA243" s="12">
        <f>Kontenplan!R245</f>
        <v>3</v>
      </c>
      <c r="BB243" s="12">
        <f>Kontenplan!S245</f>
        <v>2</v>
      </c>
      <c r="BC243" s="12">
        <f>Kontenplan!T245</f>
        <v>4</v>
      </c>
      <c r="BD243" s="170">
        <f>Kontenplan!U245</f>
        <v>4</v>
      </c>
      <c r="BE243" s="12"/>
      <c r="BF243" s="24">
        <f ca="1">SUM(AP$7:AP243)</f>
        <v>0</v>
      </c>
      <c r="BG243" s="46">
        <f ca="1">SUM(AQ$7:AQ242)</f>
        <v>0</v>
      </c>
      <c r="BH243" s="24">
        <f t="shared" ca="1" si="163"/>
        <v>0</v>
      </c>
      <c r="BI243" s="24"/>
      <c r="BJ243" s="24">
        <f ca="1">SUM(AX$7:AX243)</f>
        <v>0</v>
      </c>
      <c r="BK243" s="24">
        <f ca="1">SUM(AY$7:AY242)</f>
        <v>0</v>
      </c>
      <c r="BL243" s="24">
        <f t="shared" ca="1" si="164"/>
        <v>0</v>
      </c>
      <c r="BM243" s="12"/>
      <c r="BN243" s="24">
        <f ca="1">SUM(AB$7:AB243)</f>
        <v>0</v>
      </c>
      <c r="BO243" s="46">
        <f ca="1">SUM(AC$7:AC242)</f>
        <v>0</v>
      </c>
      <c r="BP243" s="24">
        <f t="shared" ca="1" si="165"/>
        <v>0</v>
      </c>
      <c r="BQ243" s="12"/>
      <c r="BR243" s="24">
        <f ca="1">SUM(AH$7:AH243)</f>
        <v>0</v>
      </c>
      <c r="BS243" s="46">
        <f ca="1">SUM(AI$7:AI242)</f>
        <v>0</v>
      </c>
      <c r="BT243" s="24">
        <f t="shared" ca="1" si="166"/>
        <v>0</v>
      </c>
    </row>
    <row r="244" spans="1:72">
      <c r="A244" s="202">
        <f>Kontenplan!C246</f>
        <v>0</v>
      </c>
      <c r="B244" s="224">
        <f>Kontenplan!E246</f>
        <v>0</v>
      </c>
      <c r="C244" s="225">
        <f>Kontenplan!F246</f>
        <v>0</v>
      </c>
      <c r="D244" s="43">
        <f>IF(B244=0,0,SUMIF(Journal!$F$7:$F$83,Calc!B244,Journal!$I$7:$I$83))</f>
        <v>0</v>
      </c>
      <c r="E244" s="15">
        <f>IF(B244=0,0,SUMIF(Journal!$G$7:$M318,Calc!B244,Journal!$I$7:$I$83))</f>
        <v>0</v>
      </c>
      <c r="F244" s="44">
        <f t="shared" si="130"/>
        <v>0</v>
      </c>
      <c r="G244" s="15">
        <f t="shared" si="131"/>
        <v>0</v>
      </c>
      <c r="H244" s="14" t="str">
        <f t="shared" si="132"/>
        <v xml:space="preserve"> </v>
      </c>
      <c r="I244" s="43" t="str">
        <f t="shared" si="133"/>
        <v xml:space="preserve"> </v>
      </c>
      <c r="J244" s="45" t="str">
        <f t="shared" si="134"/>
        <v xml:space="preserve"> </v>
      </c>
      <c r="K244" s="48" t="str">
        <f t="shared" si="135"/>
        <v xml:space="preserve"> </v>
      </c>
      <c r="L244" s="45" t="str">
        <f t="shared" si="136"/>
        <v xml:space="preserve"> </v>
      </c>
      <c r="M244" s="48" t="str">
        <f t="shared" si="137"/>
        <v xml:space="preserve"> </v>
      </c>
      <c r="N244" s="24"/>
      <c r="O244" s="12">
        <f t="shared" si="138"/>
        <v>10.045599999999894</v>
      </c>
      <c r="P244" s="12">
        <f t="shared" si="139"/>
        <v>9.0437999999998979</v>
      </c>
      <c r="Q244" s="12">
        <f t="shared" si="140"/>
        <v>31.037599999999912</v>
      </c>
      <c r="R244" s="12">
        <f t="shared" si="141"/>
        <v>29.031799999999926</v>
      </c>
      <c r="S244" s="12">
        <f t="shared" si="142"/>
        <v>0</v>
      </c>
      <c r="T244" s="12">
        <f t="shared" si="143"/>
        <v>0</v>
      </c>
      <c r="U244" s="43">
        <f>IF(OR(A244=Kontenplan!$C$3,A244=Kontenplan!$C$5),F244-G244,G244-F244)</f>
        <v>0</v>
      </c>
      <c r="V244" s="171">
        <f t="shared" si="126"/>
        <v>238</v>
      </c>
      <c r="W244" s="12">
        <f t="shared" si="127"/>
        <v>211</v>
      </c>
      <c r="X244" s="12">
        <f t="shared" si="128"/>
        <v>213</v>
      </c>
      <c r="Y244" s="12">
        <f>IF(Z244=0,VLOOKUP(W244,Kontenplan!$Y$9:$AA$551,3),"")</f>
        <v>0</v>
      </c>
      <c r="Z244" s="12">
        <f t="shared" si="144"/>
        <v>0</v>
      </c>
      <c r="AA244" s="12" t="str">
        <f t="shared" ca="1" si="145"/>
        <v/>
      </c>
      <c r="AB244" s="46" t="str">
        <f t="shared" ca="1" si="146"/>
        <v/>
      </c>
      <c r="AC244" s="46" t="str">
        <f t="shared" ca="1" si="147"/>
        <v/>
      </c>
      <c r="AD244" s="47"/>
      <c r="AE244" s="12">
        <f>IF(AF244=0,VLOOKUP(X244,Kontenplan!$Z$9:$AB$551,3),"")</f>
        <v>0</v>
      </c>
      <c r="AF244" s="47">
        <f t="shared" si="148"/>
        <v>0</v>
      </c>
      <c r="AG244" s="12" t="str">
        <f t="shared" ca="1" si="149"/>
        <v/>
      </c>
      <c r="AH244" s="46" t="str">
        <f t="shared" ca="1" si="150"/>
        <v/>
      </c>
      <c r="AI244" s="46" t="str">
        <f t="shared" ca="1" si="151"/>
        <v/>
      </c>
      <c r="AJ244" s="46"/>
      <c r="AK244" s="147">
        <f t="shared" ca="1" si="152"/>
        <v>2.0228000000000481</v>
      </c>
      <c r="AL244" s="147">
        <f t="shared" si="153"/>
        <v>2.0231000000000487</v>
      </c>
      <c r="AM244" s="12" t="str">
        <f>IF(V244&lt;=AO$3,VLOOKUP(V244,Kontenplan!$A$9:$D$278,4),"")</f>
        <v/>
      </c>
      <c r="AN244" s="12">
        <f t="shared" si="154"/>
        <v>0</v>
      </c>
      <c r="AO244" s="12" t="str">
        <f t="shared" ca="1" si="155"/>
        <v/>
      </c>
      <c r="AP244" s="46" t="str">
        <f t="shared" ca="1" si="156"/>
        <v/>
      </c>
      <c r="AQ244" s="46" t="str">
        <f t="shared" ca="1" si="157"/>
        <v/>
      </c>
      <c r="AR244" s="46"/>
      <c r="AS244" s="147">
        <f t="shared" ca="1" si="158"/>
        <v>3.0227000000000479</v>
      </c>
      <c r="AT244" s="147">
        <f t="shared" si="159"/>
        <v>2.023200000000049</v>
      </c>
      <c r="AU244" s="47" t="str">
        <f>IF(V244&lt;=AW$3,VLOOKUP(AO$3+V244,Kontenplan!$A$9:$D$278,4),"")</f>
        <v/>
      </c>
      <c r="AV244" s="12">
        <f t="shared" si="160"/>
        <v>0</v>
      </c>
      <c r="AW244" s="12" t="str">
        <f t="shared" ca="1" si="161"/>
        <v/>
      </c>
      <c r="AX244" s="46" t="str">
        <f t="shared" ca="1" si="129"/>
        <v/>
      </c>
      <c r="AY244" s="46" t="str">
        <f t="shared" ca="1" si="162"/>
        <v/>
      </c>
      <c r="AZ244" s="12"/>
      <c r="BA244" s="12">
        <f>Kontenplan!R246</f>
        <v>3</v>
      </c>
      <c r="BB244" s="12">
        <f>Kontenplan!S246</f>
        <v>2</v>
      </c>
      <c r="BC244" s="12">
        <f>Kontenplan!T246</f>
        <v>4</v>
      </c>
      <c r="BD244" s="170">
        <f>Kontenplan!U246</f>
        <v>4</v>
      </c>
      <c r="BE244" s="12"/>
      <c r="BF244" s="24">
        <f ca="1">SUM(AP$7:AP244)</f>
        <v>0</v>
      </c>
      <c r="BG244" s="46">
        <f ca="1">SUM(AQ$7:AQ243)</f>
        <v>0</v>
      </c>
      <c r="BH244" s="24">
        <f t="shared" ca="1" si="163"/>
        <v>0</v>
      </c>
      <c r="BI244" s="24"/>
      <c r="BJ244" s="24">
        <f ca="1">SUM(AX$7:AX244)</f>
        <v>0</v>
      </c>
      <c r="BK244" s="24">
        <f ca="1">SUM(AY$7:AY243)</f>
        <v>0</v>
      </c>
      <c r="BL244" s="24">
        <f t="shared" ca="1" si="164"/>
        <v>0</v>
      </c>
      <c r="BM244" s="12"/>
      <c r="BN244" s="24">
        <f ca="1">SUM(AB$7:AB244)</f>
        <v>0</v>
      </c>
      <c r="BO244" s="46">
        <f ca="1">SUM(AC$7:AC243)</f>
        <v>0</v>
      </c>
      <c r="BP244" s="24">
        <f t="shared" ca="1" si="165"/>
        <v>0</v>
      </c>
      <c r="BQ244" s="12"/>
      <c r="BR244" s="24">
        <f ca="1">SUM(AH$7:AH244)</f>
        <v>0</v>
      </c>
      <c r="BS244" s="46">
        <f ca="1">SUM(AI$7:AI243)</f>
        <v>0</v>
      </c>
      <c r="BT244" s="24">
        <f t="shared" ca="1" si="166"/>
        <v>0</v>
      </c>
    </row>
    <row r="245" spans="1:72">
      <c r="A245" s="202">
        <f>Kontenplan!C247</f>
        <v>0</v>
      </c>
      <c r="B245" s="224">
        <f>Kontenplan!E247</f>
        <v>0</v>
      </c>
      <c r="C245" s="225">
        <f>Kontenplan!F247</f>
        <v>0</v>
      </c>
      <c r="D245" s="43">
        <f>IF(B245=0,0,SUMIF(Journal!$F$7:$F$83,Calc!B245,Journal!$I$7:$I$83))</f>
        <v>0</v>
      </c>
      <c r="E245" s="15">
        <f>IF(B245=0,0,SUMIF(Journal!$G$7:$M319,Calc!B245,Journal!$I$7:$I$83))</f>
        <v>0</v>
      </c>
      <c r="F245" s="44">
        <f t="shared" si="130"/>
        <v>0</v>
      </c>
      <c r="G245" s="15">
        <f t="shared" si="131"/>
        <v>0</v>
      </c>
      <c r="H245" s="14" t="str">
        <f t="shared" si="132"/>
        <v xml:space="preserve"> </v>
      </c>
      <c r="I245" s="43" t="str">
        <f t="shared" si="133"/>
        <v xml:space="preserve"> </v>
      </c>
      <c r="J245" s="45" t="str">
        <f t="shared" si="134"/>
        <v xml:space="preserve"> </v>
      </c>
      <c r="K245" s="48" t="str">
        <f t="shared" si="135"/>
        <v xml:space="preserve"> </v>
      </c>
      <c r="L245" s="45" t="str">
        <f t="shared" si="136"/>
        <v xml:space="preserve"> </v>
      </c>
      <c r="M245" s="48" t="str">
        <f t="shared" si="137"/>
        <v xml:space="preserve"> </v>
      </c>
      <c r="N245" s="24"/>
      <c r="O245" s="12">
        <f t="shared" si="138"/>
        <v>10.045799999999893</v>
      </c>
      <c r="P245" s="12">
        <f t="shared" si="139"/>
        <v>9.0439999999998975</v>
      </c>
      <c r="Q245" s="12">
        <f t="shared" si="140"/>
        <v>31.037799999999912</v>
      </c>
      <c r="R245" s="12">
        <f t="shared" si="141"/>
        <v>29.031999999999925</v>
      </c>
      <c r="S245" s="12">
        <f t="shared" si="142"/>
        <v>0</v>
      </c>
      <c r="T245" s="12">
        <f t="shared" si="143"/>
        <v>0</v>
      </c>
      <c r="U245" s="43">
        <f>IF(OR(A245=Kontenplan!$C$3,A245=Kontenplan!$C$5),F245-G245,G245-F245)</f>
        <v>0</v>
      </c>
      <c r="V245" s="171">
        <f t="shared" si="126"/>
        <v>239</v>
      </c>
      <c r="W245" s="12">
        <f t="shared" si="127"/>
        <v>212</v>
      </c>
      <c r="X245" s="12">
        <f t="shared" si="128"/>
        <v>214</v>
      </c>
      <c r="Y245" s="12">
        <f>IF(Z245=0,VLOOKUP(W245,Kontenplan!$Y$9:$AA$551,3),"")</f>
        <v>0</v>
      </c>
      <c r="Z245" s="12">
        <f t="shared" si="144"/>
        <v>0</v>
      </c>
      <c r="AA245" s="12" t="str">
        <f t="shared" ca="1" si="145"/>
        <v/>
      </c>
      <c r="AB245" s="46" t="str">
        <f t="shared" ca="1" si="146"/>
        <v/>
      </c>
      <c r="AC245" s="46" t="str">
        <f t="shared" ca="1" si="147"/>
        <v/>
      </c>
      <c r="AD245" s="47"/>
      <c r="AE245" s="12">
        <f>IF(AF245=0,VLOOKUP(X245,Kontenplan!$Z$9:$AB$551,3),"")</f>
        <v>0</v>
      </c>
      <c r="AF245" s="47">
        <f t="shared" si="148"/>
        <v>0</v>
      </c>
      <c r="AG245" s="12" t="str">
        <f t="shared" ca="1" si="149"/>
        <v/>
      </c>
      <c r="AH245" s="46" t="str">
        <f t="shared" ca="1" si="150"/>
        <v/>
      </c>
      <c r="AI245" s="46" t="str">
        <f t="shared" ca="1" si="151"/>
        <v/>
      </c>
      <c r="AJ245" s="46"/>
      <c r="AK245" s="147">
        <f t="shared" ca="1" si="152"/>
        <v>2.0229000000000483</v>
      </c>
      <c r="AL245" s="147">
        <f t="shared" si="153"/>
        <v>2.023200000000049</v>
      </c>
      <c r="AM245" s="12" t="str">
        <f>IF(V245&lt;=AO$3,VLOOKUP(V245,Kontenplan!$A$9:$D$278,4),"")</f>
        <v/>
      </c>
      <c r="AN245" s="12">
        <f t="shared" si="154"/>
        <v>0</v>
      </c>
      <c r="AO245" s="12" t="str">
        <f t="shared" ca="1" si="155"/>
        <v/>
      </c>
      <c r="AP245" s="46" t="str">
        <f t="shared" ca="1" si="156"/>
        <v/>
      </c>
      <c r="AQ245" s="46" t="str">
        <f t="shared" ca="1" si="157"/>
        <v/>
      </c>
      <c r="AR245" s="46"/>
      <c r="AS245" s="147">
        <f t="shared" ca="1" si="158"/>
        <v>3.0228000000000481</v>
      </c>
      <c r="AT245" s="147">
        <f t="shared" si="159"/>
        <v>2.0233000000000492</v>
      </c>
      <c r="AU245" s="47" t="str">
        <f>IF(V245&lt;=AW$3,VLOOKUP(AO$3+V245,Kontenplan!$A$9:$D$278,4),"")</f>
        <v/>
      </c>
      <c r="AV245" s="12">
        <f t="shared" si="160"/>
        <v>0</v>
      </c>
      <c r="AW245" s="12" t="str">
        <f t="shared" ca="1" si="161"/>
        <v/>
      </c>
      <c r="AX245" s="46" t="str">
        <f t="shared" ca="1" si="129"/>
        <v/>
      </c>
      <c r="AY245" s="46" t="str">
        <f t="shared" ca="1" si="162"/>
        <v/>
      </c>
      <c r="AZ245" s="12"/>
      <c r="BA245" s="12">
        <f>Kontenplan!R247</f>
        <v>3</v>
      </c>
      <c r="BB245" s="12">
        <f>Kontenplan!S247</f>
        <v>2</v>
      </c>
      <c r="BC245" s="12">
        <f>Kontenplan!T247</f>
        <v>4</v>
      </c>
      <c r="BD245" s="170">
        <f>Kontenplan!U247</f>
        <v>4</v>
      </c>
      <c r="BE245" s="12"/>
      <c r="BF245" s="24">
        <f ca="1">SUM(AP$7:AP245)</f>
        <v>0</v>
      </c>
      <c r="BG245" s="46">
        <f ca="1">SUM(AQ$7:AQ244)</f>
        <v>0</v>
      </c>
      <c r="BH245" s="24">
        <f t="shared" ca="1" si="163"/>
        <v>0</v>
      </c>
      <c r="BI245" s="24"/>
      <c r="BJ245" s="24">
        <f ca="1">SUM(AX$7:AX245)</f>
        <v>0</v>
      </c>
      <c r="BK245" s="24">
        <f ca="1">SUM(AY$7:AY244)</f>
        <v>0</v>
      </c>
      <c r="BL245" s="24">
        <f t="shared" ca="1" si="164"/>
        <v>0</v>
      </c>
      <c r="BM245" s="12"/>
      <c r="BN245" s="24">
        <f ca="1">SUM(AB$7:AB245)</f>
        <v>0</v>
      </c>
      <c r="BO245" s="46">
        <f ca="1">SUM(AC$7:AC244)</f>
        <v>0</v>
      </c>
      <c r="BP245" s="24">
        <f t="shared" ca="1" si="165"/>
        <v>0</v>
      </c>
      <c r="BQ245" s="12"/>
      <c r="BR245" s="24">
        <f ca="1">SUM(AH$7:AH245)</f>
        <v>0</v>
      </c>
      <c r="BS245" s="46">
        <f ca="1">SUM(AI$7:AI244)</f>
        <v>0</v>
      </c>
      <c r="BT245" s="24">
        <f t="shared" ca="1" si="166"/>
        <v>0</v>
      </c>
    </row>
    <row r="246" spans="1:72">
      <c r="A246" s="202">
        <f>Kontenplan!C248</f>
        <v>0</v>
      </c>
      <c r="B246" s="224">
        <f>Kontenplan!E248</f>
        <v>0</v>
      </c>
      <c r="C246" s="225">
        <f>Kontenplan!F248</f>
        <v>0</v>
      </c>
      <c r="D246" s="43">
        <f>IF(B246=0,0,SUMIF(Journal!$F$7:$F$83,Calc!B246,Journal!$I$7:$I$83))</f>
        <v>0</v>
      </c>
      <c r="E246" s="15">
        <f>IF(B246=0,0,SUMIF(Journal!$G$7:$M320,Calc!B246,Journal!$I$7:$I$83))</f>
        <v>0</v>
      </c>
      <c r="F246" s="44">
        <f t="shared" si="130"/>
        <v>0</v>
      </c>
      <c r="G246" s="15">
        <f t="shared" si="131"/>
        <v>0</v>
      </c>
      <c r="H246" s="14" t="str">
        <f t="shared" si="132"/>
        <v xml:space="preserve"> </v>
      </c>
      <c r="I246" s="43" t="str">
        <f t="shared" si="133"/>
        <v xml:space="preserve"> </v>
      </c>
      <c r="J246" s="45" t="str">
        <f t="shared" si="134"/>
        <v xml:space="preserve"> </v>
      </c>
      <c r="K246" s="48" t="str">
        <f t="shared" si="135"/>
        <v xml:space="preserve"> </v>
      </c>
      <c r="L246" s="45" t="str">
        <f t="shared" si="136"/>
        <v xml:space="preserve"> </v>
      </c>
      <c r="M246" s="48" t="str">
        <f t="shared" si="137"/>
        <v xml:space="preserve"> </v>
      </c>
      <c r="N246" s="24"/>
      <c r="O246" s="12">
        <f t="shared" si="138"/>
        <v>10.045999999999893</v>
      </c>
      <c r="P246" s="12">
        <f t="shared" si="139"/>
        <v>9.044199999999897</v>
      </c>
      <c r="Q246" s="12">
        <f t="shared" si="140"/>
        <v>31.037999999999911</v>
      </c>
      <c r="R246" s="12">
        <f t="shared" si="141"/>
        <v>29.032199999999925</v>
      </c>
      <c r="S246" s="12">
        <f t="shared" si="142"/>
        <v>0</v>
      </c>
      <c r="T246" s="12">
        <f t="shared" si="143"/>
        <v>0</v>
      </c>
      <c r="U246" s="43">
        <f>IF(OR(A246=Kontenplan!$C$3,A246=Kontenplan!$C$5),F246-G246,G246-F246)</f>
        <v>0</v>
      </c>
      <c r="V246" s="171">
        <f t="shared" si="126"/>
        <v>240</v>
      </c>
      <c r="W246" s="12">
        <f t="shared" si="127"/>
        <v>213</v>
      </c>
      <c r="X246" s="12">
        <f t="shared" si="128"/>
        <v>215</v>
      </c>
      <c r="Y246" s="12">
        <f>IF(Z246=0,VLOOKUP(W246,Kontenplan!$Y$9:$AA$551,3),"")</f>
        <v>0</v>
      </c>
      <c r="Z246" s="12">
        <f t="shared" si="144"/>
        <v>0</v>
      </c>
      <c r="AA246" s="12" t="str">
        <f t="shared" ca="1" si="145"/>
        <v/>
      </c>
      <c r="AB246" s="46" t="str">
        <f t="shared" ca="1" si="146"/>
        <v/>
      </c>
      <c r="AC246" s="46" t="str">
        <f t="shared" ca="1" si="147"/>
        <v/>
      </c>
      <c r="AD246" s="47"/>
      <c r="AE246" s="12">
        <f>IF(AF246=0,VLOOKUP(X246,Kontenplan!$Z$9:$AB$551,3),"")</f>
        <v>0</v>
      </c>
      <c r="AF246" s="47">
        <f t="shared" si="148"/>
        <v>0</v>
      </c>
      <c r="AG246" s="12" t="str">
        <f t="shared" ca="1" si="149"/>
        <v/>
      </c>
      <c r="AH246" s="46" t="str">
        <f t="shared" ca="1" si="150"/>
        <v/>
      </c>
      <c r="AI246" s="46" t="str">
        <f t="shared" ca="1" si="151"/>
        <v/>
      </c>
      <c r="AJ246" s="46"/>
      <c r="AK246" s="147">
        <f t="shared" ca="1" si="152"/>
        <v>2.0230000000000485</v>
      </c>
      <c r="AL246" s="147">
        <f t="shared" si="153"/>
        <v>2.0233000000000492</v>
      </c>
      <c r="AM246" s="12" t="str">
        <f>IF(V246&lt;=AO$3,VLOOKUP(V246,Kontenplan!$A$9:$D$278,4),"")</f>
        <v/>
      </c>
      <c r="AN246" s="12">
        <f t="shared" si="154"/>
        <v>0</v>
      </c>
      <c r="AO246" s="12" t="str">
        <f t="shared" ca="1" si="155"/>
        <v/>
      </c>
      <c r="AP246" s="46" t="str">
        <f t="shared" ca="1" si="156"/>
        <v/>
      </c>
      <c r="AQ246" s="46" t="str">
        <f t="shared" ca="1" si="157"/>
        <v/>
      </c>
      <c r="AR246" s="46"/>
      <c r="AS246" s="147">
        <f t="shared" ca="1" si="158"/>
        <v>3.0229000000000483</v>
      </c>
      <c r="AT246" s="147">
        <f t="shared" si="159"/>
        <v>2.0234000000000494</v>
      </c>
      <c r="AU246" s="47" t="str">
        <f>IF(V246&lt;=AW$3,VLOOKUP(AO$3+V246,Kontenplan!$A$9:$D$278,4),"")</f>
        <v/>
      </c>
      <c r="AV246" s="12">
        <f t="shared" si="160"/>
        <v>0</v>
      </c>
      <c r="AW246" s="12" t="str">
        <f t="shared" ca="1" si="161"/>
        <v/>
      </c>
      <c r="AX246" s="46" t="str">
        <f t="shared" ca="1" si="129"/>
        <v/>
      </c>
      <c r="AY246" s="46" t="str">
        <f t="shared" ca="1" si="162"/>
        <v/>
      </c>
      <c r="AZ246" s="12"/>
      <c r="BA246" s="12">
        <f>Kontenplan!R248</f>
        <v>3</v>
      </c>
      <c r="BB246" s="12">
        <f>Kontenplan!S248</f>
        <v>2</v>
      </c>
      <c r="BC246" s="12">
        <f>Kontenplan!T248</f>
        <v>4</v>
      </c>
      <c r="BD246" s="170">
        <f>Kontenplan!U248</f>
        <v>4</v>
      </c>
      <c r="BE246" s="12"/>
      <c r="BF246" s="24">
        <f ca="1">SUM(AP$7:AP246)</f>
        <v>0</v>
      </c>
      <c r="BG246" s="46">
        <f ca="1">SUM(AQ$7:AQ245)</f>
        <v>0</v>
      </c>
      <c r="BH246" s="24">
        <f t="shared" ca="1" si="163"/>
        <v>0</v>
      </c>
      <c r="BI246" s="24"/>
      <c r="BJ246" s="24">
        <f ca="1">SUM(AX$7:AX246)</f>
        <v>0</v>
      </c>
      <c r="BK246" s="24">
        <f ca="1">SUM(AY$7:AY245)</f>
        <v>0</v>
      </c>
      <c r="BL246" s="24">
        <f t="shared" ca="1" si="164"/>
        <v>0</v>
      </c>
      <c r="BM246" s="12"/>
      <c r="BN246" s="24">
        <f ca="1">SUM(AB$7:AB246)</f>
        <v>0</v>
      </c>
      <c r="BO246" s="46">
        <f ca="1">SUM(AC$7:AC245)</f>
        <v>0</v>
      </c>
      <c r="BP246" s="24">
        <f t="shared" ca="1" si="165"/>
        <v>0</v>
      </c>
      <c r="BQ246" s="12"/>
      <c r="BR246" s="24">
        <f ca="1">SUM(AH$7:AH246)</f>
        <v>0</v>
      </c>
      <c r="BS246" s="46">
        <f ca="1">SUM(AI$7:AI245)</f>
        <v>0</v>
      </c>
      <c r="BT246" s="24">
        <f t="shared" ca="1" si="166"/>
        <v>0</v>
      </c>
    </row>
    <row r="247" spans="1:72">
      <c r="A247" s="202">
        <f>Kontenplan!C249</f>
        <v>0</v>
      </c>
      <c r="B247" s="224">
        <f>Kontenplan!E249</f>
        <v>0</v>
      </c>
      <c r="C247" s="225">
        <f>Kontenplan!F249</f>
        <v>0</v>
      </c>
      <c r="D247" s="43">
        <f>IF(B247=0,0,SUMIF(Journal!$F$7:$F$83,Calc!B247,Journal!$I$7:$I$83))</f>
        <v>0</v>
      </c>
      <c r="E247" s="15">
        <f>IF(B247=0,0,SUMIF(Journal!$G$7:$M321,Calc!B247,Journal!$I$7:$I$83))</f>
        <v>0</v>
      </c>
      <c r="F247" s="44">
        <f t="shared" si="130"/>
        <v>0</v>
      </c>
      <c r="G247" s="15">
        <f t="shared" si="131"/>
        <v>0</v>
      </c>
      <c r="H247" s="14" t="str">
        <f t="shared" si="132"/>
        <v xml:space="preserve"> </v>
      </c>
      <c r="I247" s="43" t="str">
        <f t="shared" si="133"/>
        <v xml:space="preserve"> </v>
      </c>
      <c r="J247" s="45" t="str">
        <f t="shared" si="134"/>
        <v xml:space="preserve"> </v>
      </c>
      <c r="K247" s="48" t="str">
        <f t="shared" si="135"/>
        <v xml:space="preserve"> </v>
      </c>
      <c r="L247" s="45" t="str">
        <f t="shared" si="136"/>
        <v xml:space="preserve"> </v>
      </c>
      <c r="M247" s="48" t="str">
        <f t="shared" si="137"/>
        <v xml:space="preserve"> </v>
      </c>
      <c r="N247" s="24"/>
      <c r="O247" s="12">
        <f t="shared" si="138"/>
        <v>10.046199999999892</v>
      </c>
      <c r="P247" s="12">
        <f t="shared" si="139"/>
        <v>9.0443999999998965</v>
      </c>
      <c r="Q247" s="12">
        <f t="shared" si="140"/>
        <v>31.038199999999911</v>
      </c>
      <c r="R247" s="12">
        <f t="shared" si="141"/>
        <v>29.032399999999924</v>
      </c>
      <c r="S247" s="12">
        <f t="shared" si="142"/>
        <v>0</v>
      </c>
      <c r="T247" s="12">
        <f t="shared" si="143"/>
        <v>0</v>
      </c>
      <c r="U247" s="43">
        <f>IF(OR(A247=Kontenplan!$C$3,A247=Kontenplan!$C$5),F247-G247,G247-F247)</f>
        <v>0</v>
      </c>
      <c r="V247" s="171">
        <f t="shared" si="126"/>
        <v>241</v>
      </c>
      <c r="W247" s="12">
        <f t="shared" si="127"/>
        <v>214</v>
      </c>
      <c r="X247" s="12">
        <f t="shared" si="128"/>
        <v>216</v>
      </c>
      <c r="Y247" s="12">
        <f>IF(Z247=0,VLOOKUP(W247,Kontenplan!$Y$9:$AA$551,3),"")</f>
        <v>0</v>
      </c>
      <c r="Z247" s="12">
        <f t="shared" si="144"/>
        <v>0</v>
      </c>
      <c r="AA247" s="12" t="str">
        <f t="shared" ca="1" si="145"/>
        <v/>
      </c>
      <c r="AB247" s="46" t="str">
        <f t="shared" ca="1" si="146"/>
        <v/>
      </c>
      <c r="AC247" s="46" t="str">
        <f t="shared" ca="1" si="147"/>
        <v/>
      </c>
      <c r="AD247" s="47"/>
      <c r="AE247" s="12">
        <f>IF(AF247=0,VLOOKUP(X247,Kontenplan!$Z$9:$AB$551,3),"")</f>
        <v>0</v>
      </c>
      <c r="AF247" s="47">
        <f t="shared" si="148"/>
        <v>0</v>
      </c>
      <c r="AG247" s="12" t="str">
        <f t="shared" ca="1" si="149"/>
        <v/>
      </c>
      <c r="AH247" s="46" t="str">
        <f t="shared" ca="1" si="150"/>
        <v/>
      </c>
      <c r="AI247" s="46" t="str">
        <f t="shared" ca="1" si="151"/>
        <v/>
      </c>
      <c r="AJ247" s="46"/>
      <c r="AK247" s="147">
        <f t="shared" ca="1" si="152"/>
        <v>2.0231000000000487</v>
      </c>
      <c r="AL247" s="147">
        <f t="shared" si="153"/>
        <v>2.0234000000000494</v>
      </c>
      <c r="AM247" s="12" t="str">
        <f>IF(V247&lt;=AO$3,VLOOKUP(V247,Kontenplan!$A$9:$D$278,4),"")</f>
        <v/>
      </c>
      <c r="AN247" s="12">
        <f t="shared" si="154"/>
        <v>0</v>
      </c>
      <c r="AO247" s="12" t="str">
        <f t="shared" ca="1" si="155"/>
        <v/>
      </c>
      <c r="AP247" s="46" t="str">
        <f t="shared" ca="1" si="156"/>
        <v/>
      </c>
      <c r="AQ247" s="46" t="str">
        <f t="shared" ca="1" si="157"/>
        <v/>
      </c>
      <c r="AR247" s="46"/>
      <c r="AS247" s="147">
        <f t="shared" ca="1" si="158"/>
        <v>3.0230000000000485</v>
      </c>
      <c r="AT247" s="147">
        <f t="shared" si="159"/>
        <v>2.0235000000000496</v>
      </c>
      <c r="AU247" s="47" t="str">
        <f>IF(V247&lt;=AW$3,VLOOKUP(AO$3+V247,Kontenplan!$A$9:$D$278,4),"")</f>
        <v/>
      </c>
      <c r="AV247" s="12">
        <f t="shared" si="160"/>
        <v>0</v>
      </c>
      <c r="AW247" s="12" t="str">
        <f t="shared" ca="1" si="161"/>
        <v/>
      </c>
      <c r="AX247" s="46" t="str">
        <f t="shared" ca="1" si="129"/>
        <v/>
      </c>
      <c r="AY247" s="46" t="str">
        <f t="shared" ca="1" si="162"/>
        <v/>
      </c>
      <c r="AZ247" s="12"/>
      <c r="BA247" s="12">
        <f>Kontenplan!R249</f>
        <v>3</v>
      </c>
      <c r="BB247" s="12">
        <f>Kontenplan!S249</f>
        <v>2</v>
      </c>
      <c r="BC247" s="12">
        <f>Kontenplan!T249</f>
        <v>4</v>
      </c>
      <c r="BD247" s="170">
        <f>Kontenplan!U249</f>
        <v>4</v>
      </c>
      <c r="BE247" s="12"/>
      <c r="BF247" s="24">
        <f ca="1">SUM(AP$7:AP247)</f>
        <v>0</v>
      </c>
      <c r="BG247" s="46">
        <f ca="1">SUM(AQ$7:AQ246)</f>
        <v>0</v>
      </c>
      <c r="BH247" s="24">
        <f t="shared" ca="1" si="163"/>
        <v>0</v>
      </c>
      <c r="BI247" s="24"/>
      <c r="BJ247" s="24">
        <f ca="1">SUM(AX$7:AX247)</f>
        <v>0</v>
      </c>
      <c r="BK247" s="24">
        <f ca="1">SUM(AY$7:AY246)</f>
        <v>0</v>
      </c>
      <c r="BL247" s="24">
        <f t="shared" ca="1" si="164"/>
        <v>0</v>
      </c>
      <c r="BM247" s="12"/>
      <c r="BN247" s="24">
        <f ca="1">SUM(AB$7:AB247)</f>
        <v>0</v>
      </c>
      <c r="BO247" s="46">
        <f ca="1">SUM(AC$7:AC246)</f>
        <v>0</v>
      </c>
      <c r="BP247" s="24">
        <f t="shared" ca="1" si="165"/>
        <v>0</v>
      </c>
      <c r="BQ247" s="12"/>
      <c r="BR247" s="24">
        <f ca="1">SUM(AH$7:AH247)</f>
        <v>0</v>
      </c>
      <c r="BS247" s="46">
        <f ca="1">SUM(AI$7:AI246)</f>
        <v>0</v>
      </c>
      <c r="BT247" s="24">
        <f t="shared" ca="1" si="166"/>
        <v>0</v>
      </c>
    </row>
    <row r="248" spans="1:72">
      <c r="A248" s="202">
        <f>Kontenplan!C250</f>
        <v>0</v>
      </c>
      <c r="B248" s="224">
        <f>Kontenplan!E250</f>
        <v>0</v>
      </c>
      <c r="C248" s="225">
        <f>Kontenplan!F250</f>
        <v>0</v>
      </c>
      <c r="D248" s="43">
        <f>IF(B248=0,0,SUMIF(Journal!$F$7:$F$83,Calc!B248,Journal!$I$7:$I$83))</f>
        <v>0</v>
      </c>
      <c r="E248" s="15">
        <f>IF(B248=0,0,SUMIF(Journal!$G$7:$M322,Calc!B248,Journal!$I$7:$I$83))</f>
        <v>0</v>
      </c>
      <c r="F248" s="44">
        <f t="shared" si="130"/>
        <v>0</v>
      </c>
      <c r="G248" s="15">
        <f t="shared" si="131"/>
        <v>0</v>
      </c>
      <c r="H248" s="14" t="str">
        <f t="shared" si="132"/>
        <v xml:space="preserve"> </v>
      </c>
      <c r="I248" s="43" t="str">
        <f t="shared" si="133"/>
        <v xml:space="preserve"> </v>
      </c>
      <c r="J248" s="45" t="str">
        <f t="shared" si="134"/>
        <v xml:space="preserve"> </v>
      </c>
      <c r="K248" s="48" t="str">
        <f t="shared" si="135"/>
        <v xml:space="preserve"> </v>
      </c>
      <c r="L248" s="45" t="str">
        <f t="shared" si="136"/>
        <v xml:space="preserve"> </v>
      </c>
      <c r="M248" s="48" t="str">
        <f t="shared" si="137"/>
        <v xml:space="preserve"> </v>
      </c>
      <c r="N248" s="24"/>
      <c r="O248" s="12">
        <f t="shared" si="138"/>
        <v>10.046399999999892</v>
      </c>
      <c r="P248" s="12">
        <f t="shared" si="139"/>
        <v>9.0445999999998961</v>
      </c>
      <c r="Q248" s="12">
        <f t="shared" si="140"/>
        <v>31.038399999999911</v>
      </c>
      <c r="R248" s="12">
        <f t="shared" si="141"/>
        <v>29.032599999999924</v>
      </c>
      <c r="S248" s="12">
        <f t="shared" si="142"/>
        <v>0</v>
      </c>
      <c r="T248" s="12">
        <f t="shared" si="143"/>
        <v>0</v>
      </c>
      <c r="U248" s="43">
        <f>IF(OR(A248=Kontenplan!$C$3,A248=Kontenplan!$C$5),F248-G248,G248-F248)</f>
        <v>0</v>
      </c>
      <c r="V248" s="171">
        <f t="shared" si="126"/>
        <v>242</v>
      </c>
      <c r="W248" s="12">
        <f t="shared" si="127"/>
        <v>215</v>
      </c>
      <c r="X248" s="12">
        <f t="shared" si="128"/>
        <v>217</v>
      </c>
      <c r="Y248" s="12">
        <f>IF(Z248=0,VLOOKUP(W248,Kontenplan!$Y$9:$AA$551,3),"")</f>
        <v>0</v>
      </c>
      <c r="Z248" s="12">
        <f t="shared" si="144"/>
        <v>0</v>
      </c>
      <c r="AA248" s="12" t="str">
        <f t="shared" ca="1" si="145"/>
        <v/>
      </c>
      <c r="AB248" s="46" t="str">
        <f t="shared" ca="1" si="146"/>
        <v/>
      </c>
      <c r="AC248" s="46" t="str">
        <f t="shared" ca="1" si="147"/>
        <v/>
      </c>
      <c r="AD248" s="47"/>
      <c r="AE248" s="12">
        <f>IF(AF248=0,VLOOKUP(X248,Kontenplan!$Z$9:$AB$551,3),"")</f>
        <v>0</v>
      </c>
      <c r="AF248" s="47">
        <f t="shared" si="148"/>
        <v>0</v>
      </c>
      <c r="AG248" s="12" t="str">
        <f t="shared" ca="1" si="149"/>
        <v/>
      </c>
      <c r="AH248" s="46" t="str">
        <f t="shared" ca="1" si="150"/>
        <v/>
      </c>
      <c r="AI248" s="46" t="str">
        <f t="shared" ca="1" si="151"/>
        <v/>
      </c>
      <c r="AJ248" s="46"/>
      <c r="AK248" s="147">
        <f t="shared" ca="1" si="152"/>
        <v>2.023200000000049</v>
      </c>
      <c r="AL248" s="147">
        <f t="shared" si="153"/>
        <v>2.0235000000000496</v>
      </c>
      <c r="AM248" s="12" t="str">
        <f>IF(V248&lt;=AO$3,VLOOKUP(V248,Kontenplan!$A$9:$D$278,4),"")</f>
        <v/>
      </c>
      <c r="AN248" s="12">
        <f t="shared" si="154"/>
        <v>0</v>
      </c>
      <c r="AO248" s="12" t="str">
        <f t="shared" ca="1" si="155"/>
        <v/>
      </c>
      <c r="AP248" s="46" t="str">
        <f t="shared" ca="1" si="156"/>
        <v/>
      </c>
      <c r="AQ248" s="46" t="str">
        <f t="shared" ca="1" si="157"/>
        <v/>
      </c>
      <c r="AR248" s="46"/>
      <c r="AS248" s="147">
        <f t="shared" ca="1" si="158"/>
        <v>3.0231000000000487</v>
      </c>
      <c r="AT248" s="147">
        <f t="shared" si="159"/>
        <v>2.0236000000000498</v>
      </c>
      <c r="AU248" s="47" t="str">
        <f>IF(V248&lt;=AW$3,VLOOKUP(AO$3+V248,Kontenplan!$A$9:$D$278,4),"")</f>
        <v/>
      </c>
      <c r="AV248" s="12">
        <f t="shared" si="160"/>
        <v>0</v>
      </c>
      <c r="AW248" s="12" t="str">
        <f t="shared" ca="1" si="161"/>
        <v/>
      </c>
      <c r="AX248" s="46" t="str">
        <f t="shared" ca="1" si="129"/>
        <v/>
      </c>
      <c r="AY248" s="46" t="str">
        <f t="shared" ca="1" si="162"/>
        <v/>
      </c>
      <c r="AZ248" s="12"/>
      <c r="BA248" s="12">
        <f>Kontenplan!R250</f>
        <v>3</v>
      </c>
      <c r="BB248" s="12">
        <f>Kontenplan!S250</f>
        <v>2</v>
      </c>
      <c r="BC248" s="12">
        <f>Kontenplan!T250</f>
        <v>4</v>
      </c>
      <c r="BD248" s="170">
        <f>Kontenplan!U250</f>
        <v>4</v>
      </c>
      <c r="BE248" s="12"/>
      <c r="BF248" s="24">
        <f ca="1">SUM(AP$7:AP248)</f>
        <v>0</v>
      </c>
      <c r="BG248" s="46">
        <f ca="1">SUM(AQ$7:AQ247)</f>
        <v>0</v>
      </c>
      <c r="BH248" s="24">
        <f t="shared" ca="1" si="163"/>
        <v>0</v>
      </c>
      <c r="BI248" s="24"/>
      <c r="BJ248" s="24">
        <f ca="1">SUM(AX$7:AX248)</f>
        <v>0</v>
      </c>
      <c r="BK248" s="24">
        <f ca="1">SUM(AY$7:AY247)</f>
        <v>0</v>
      </c>
      <c r="BL248" s="24">
        <f t="shared" ca="1" si="164"/>
        <v>0</v>
      </c>
      <c r="BM248" s="12"/>
      <c r="BN248" s="24">
        <f ca="1">SUM(AB$7:AB248)</f>
        <v>0</v>
      </c>
      <c r="BO248" s="46">
        <f ca="1">SUM(AC$7:AC247)</f>
        <v>0</v>
      </c>
      <c r="BP248" s="24">
        <f t="shared" ca="1" si="165"/>
        <v>0</v>
      </c>
      <c r="BQ248" s="12"/>
      <c r="BR248" s="24">
        <f ca="1">SUM(AH$7:AH248)</f>
        <v>0</v>
      </c>
      <c r="BS248" s="46">
        <f ca="1">SUM(AI$7:AI247)</f>
        <v>0</v>
      </c>
      <c r="BT248" s="24">
        <f t="shared" ca="1" si="166"/>
        <v>0</v>
      </c>
    </row>
    <row r="249" spans="1:72">
      <c r="A249" s="202">
        <f>Kontenplan!C251</f>
        <v>0</v>
      </c>
      <c r="B249" s="224">
        <f>Kontenplan!E251</f>
        <v>0</v>
      </c>
      <c r="C249" s="225">
        <f>Kontenplan!F251</f>
        <v>0</v>
      </c>
      <c r="D249" s="43">
        <f>IF(B249=0,0,SUMIF(Journal!$F$7:$F$83,Calc!B249,Journal!$I$7:$I$83))</f>
        <v>0</v>
      </c>
      <c r="E249" s="15">
        <f>IF(B249=0,0,SUMIF(Journal!$G$7:$M323,Calc!B249,Journal!$I$7:$I$83))</f>
        <v>0</v>
      </c>
      <c r="F249" s="44">
        <f t="shared" si="130"/>
        <v>0</v>
      </c>
      <c r="G249" s="15">
        <f t="shared" si="131"/>
        <v>0</v>
      </c>
      <c r="H249" s="14" t="str">
        <f t="shared" si="132"/>
        <v xml:space="preserve"> </v>
      </c>
      <c r="I249" s="43" t="str">
        <f t="shared" si="133"/>
        <v xml:space="preserve"> </v>
      </c>
      <c r="J249" s="45" t="str">
        <f t="shared" si="134"/>
        <v xml:space="preserve"> </v>
      </c>
      <c r="K249" s="48" t="str">
        <f t="shared" si="135"/>
        <v xml:space="preserve"> </v>
      </c>
      <c r="L249" s="45" t="str">
        <f t="shared" si="136"/>
        <v xml:space="preserve"> </v>
      </c>
      <c r="M249" s="48" t="str">
        <f t="shared" si="137"/>
        <v xml:space="preserve"> </v>
      </c>
      <c r="N249" s="24"/>
      <c r="O249" s="12">
        <f t="shared" si="138"/>
        <v>10.046599999999891</v>
      </c>
      <c r="P249" s="12">
        <f t="shared" si="139"/>
        <v>9.0447999999998956</v>
      </c>
      <c r="Q249" s="12">
        <f t="shared" si="140"/>
        <v>31.03859999999991</v>
      </c>
      <c r="R249" s="12">
        <f t="shared" si="141"/>
        <v>29.032799999999924</v>
      </c>
      <c r="S249" s="12">
        <f t="shared" si="142"/>
        <v>0</v>
      </c>
      <c r="T249" s="12">
        <f t="shared" si="143"/>
        <v>0</v>
      </c>
      <c r="U249" s="43">
        <f>IF(OR(A249=Kontenplan!$C$3,A249=Kontenplan!$C$5),F249-G249,G249-F249)</f>
        <v>0</v>
      </c>
      <c r="V249" s="171">
        <f t="shared" si="126"/>
        <v>243</v>
      </c>
      <c r="W249" s="12">
        <f t="shared" si="127"/>
        <v>216</v>
      </c>
      <c r="X249" s="12">
        <f t="shared" si="128"/>
        <v>218</v>
      </c>
      <c r="Y249" s="12">
        <f>IF(Z249=0,VLOOKUP(W249,Kontenplan!$Y$9:$AA$551,3),"")</f>
        <v>0</v>
      </c>
      <c r="Z249" s="12">
        <f t="shared" si="144"/>
        <v>0</v>
      </c>
      <c r="AA249" s="12" t="str">
        <f t="shared" ca="1" si="145"/>
        <v/>
      </c>
      <c r="AB249" s="46" t="str">
        <f t="shared" ca="1" si="146"/>
        <v/>
      </c>
      <c r="AC249" s="46" t="str">
        <f t="shared" ca="1" si="147"/>
        <v/>
      </c>
      <c r="AD249" s="47"/>
      <c r="AE249" s="12">
        <f>IF(AF249=0,VLOOKUP(X249,Kontenplan!$Z$9:$AB$551,3),"")</f>
        <v>0</v>
      </c>
      <c r="AF249" s="47">
        <f t="shared" si="148"/>
        <v>0</v>
      </c>
      <c r="AG249" s="12" t="str">
        <f t="shared" ca="1" si="149"/>
        <v/>
      </c>
      <c r="AH249" s="46" t="str">
        <f t="shared" ca="1" si="150"/>
        <v/>
      </c>
      <c r="AI249" s="46" t="str">
        <f t="shared" ca="1" si="151"/>
        <v/>
      </c>
      <c r="AJ249" s="46"/>
      <c r="AK249" s="147">
        <f t="shared" ca="1" si="152"/>
        <v>2.0233000000000492</v>
      </c>
      <c r="AL249" s="147">
        <f t="shared" si="153"/>
        <v>2.0236000000000498</v>
      </c>
      <c r="AM249" s="12" t="str">
        <f>IF(V249&lt;=AO$3,VLOOKUP(V249,Kontenplan!$A$9:$D$278,4),"")</f>
        <v/>
      </c>
      <c r="AN249" s="12">
        <f t="shared" si="154"/>
        <v>0</v>
      </c>
      <c r="AO249" s="12" t="str">
        <f t="shared" ca="1" si="155"/>
        <v/>
      </c>
      <c r="AP249" s="46" t="str">
        <f t="shared" ca="1" si="156"/>
        <v/>
      </c>
      <c r="AQ249" s="46" t="str">
        <f t="shared" ca="1" si="157"/>
        <v/>
      </c>
      <c r="AR249" s="46"/>
      <c r="AS249" s="147">
        <f t="shared" ca="1" si="158"/>
        <v>3.023200000000049</v>
      </c>
      <c r="AT249" s="147">
        <f t="shared" si="159"/>
        <v>2.02370000000005</v>
      </c>
      <c r="AU249" s="47" t="str">
        <f>IF(V249&lt;=AW$3,VLOOKUP(AO$3+V249,Kontenplan!$A$9:$D$278,4),"")</f>
        <v/>
      </c>
      <c r="AV249" s="12">
        <f t="shared" si="160"/>
        <v>0</v>
      </c>
      <c r="AW249" s="12" t="str">
        <f t="shared" ca="1" si="161"/>
        <v/>
      </c>
      <c r="AX249" s="46" t="str">
        <f t="shared" ca="1" si="129"/>
        <v/>
      </c>
      <c r="AY249" s="46" t="str">
        <f t="shared" ca="1" si="162"/>
        <v/>
      </c>
      <c r="AZ249" s="12"/>
      <c r="BA249" s="12">
        <f>Kontenplan!R251</f>
        <v>3</v>
      </c>
      <c r="BB249" s="12">
        <f>Kontenplan!S251</f>
        <v>2</v>
      </c>
      <c r="BC249" s="12">
        <f>Kontenplan!T251</f>
        <v>4</v>
      </c>
      <c r="BD249" s="170">
        <f>Kontenplan!U251</f>
        <v>4</v>
      </c>
      <c r="BE249" s="12"/>
      <c r="BF249" s="24">
        <f ca="1">SUM(AP$7:AP249)</f>
        <v>0</v>
      </c>
      <c r="BG249" s="46">
        <f ca="1">SUM(AQ$7:AQ248)</f>
        <v>0</v>
      </c>
      <c r="BH249" s="24">
        <f t="shared" ca="1" si="163"/>
        <v>0</v>
      </c>
      <c r="BI249" s="24"/>
      <c r="BJ249" s="24">
        <f ca="1">SUM(AX$7:AX249)</f>
        <v>0</v>
      </c>
      <c r="BK249" s="24">
        <f ca="1">SUM(AY$7:AY248)</f>
        <v>0</v>
      </c>
      <c r="BL249" s="24">
        <f t="shared" ca="1" si="164"/>
        <v>0</v>
      </c>
      <c r="BM249" s="12"/>
      <c r="BN249" s="24">
        <f ca="1">SUM(AB$7:AB249)</f>
        <v>0</v>
      </c>
      <c r="BO249" s="46">
        <f ca="1">SUM(AC$7:AC248)</f>
        <v>0</v>
      </c>
      <c r="BP249" s="24">
        <f t="shared" ca="1" si="165"/>
        <v>0</v>
      </c>
      <c r="BQ249" s="12"/>
      <c r="BR249" s="24">
        <f ca="1">SUM(AH$7:AH249)</f>
        <v>0</v>
      </c>
      <c r="BS249" s="46">
        <f ca="1">SUM(AI$7:AI248)</f>
        <v>0</v>
      </c>
      <c r="BT249" s="24">
        <f t="shared" ca="1" si="166"/>
        <v>0</v>
      </c>
    </row>
    <row r="250" spans="1:72">
      <c r="A250" s="202">
        <f>Kontenplan!C252</f>
        <v>0</v>
      </c>
      <c r="B250" s="224">
        <f>Kontenplan!E252</f>
        <v>0</v>
      </c>
      <c r="C250" s="225">
        <f>Kontenplan!F252</f>
        <v>0</v>
      </c>
      <c r="D250" s="43">
        <f>IF(B250=0,0,SUMIF(Journal!$F$7:$F$83,Calc!B250,Journal!$I$7:$I$83))</f>
        <v>0</v>
      </c>
      <c r="E250" s="15">
        <f>IF(B250=0,0,SUMIF(Journal!$G$7:$M324,Calc!B250,Journal!$I$7:$I$83))</f>
        <v>0</v>
      </c>
      <c r="F250" s="44">
        <f t="shared" si="130"/>
        <v>0</v>
      </c>
      <c r="G250" s="15">
        <f t="shared" si="131"/>
        <v>0</v>
      </c>
      <c r="H250" s="14" t="str">
        <f t="shared" si="132"/>
        <v xml:space="preserve"> </v>
      </c>
      <c r="I250" s="43" t="str">
        <f t="shared" si="133"/>
        <v xml:space="preserve"> </v>
      </c>
      <c r="J250" s="45" t="str">
        <f t="shared" si="134"/>
        <v xml:space="preserve"> </v>
      </c>
      <c r="K250" s="48" t="str">
        <f t="shared" si="135"/>
        <v xml:space="preserve"> </v>
      </c>
      <c r="L250" s="45" t="str">
        <f t="shared" si="136"/>
        <v xml:space="preserve"> </v>
      </c>
      <c r="M250" s="48" t="str">
        <f t="shared" si="137"/>
        <v xml:space="preserve"> </v>
      </c>
      <c r="N250" s="24"/>
      <c r="O250" s="12">
        <f t="shared" si="138"/>
        <v>10.046799999999891</v>
      </c>
      <c r="P250" s="12">
        <f t="shared" si="139"/>
        <v>9.0449999999998951</v>
      </c>
      <c r="Q250" s="12">
        <f t="shared" si="140"/>
        <v>31.03879999999991</v>
      </c>
      <c r="R250" s="12">
        <f t="shared" si="141"/>
        <v>29.032999999999923</v>
      </c>
      <c r="S250" s="12">
        <f t="shared" si="142"/>
        <v>0</v>
      </c>
      <c r="T250" s="12">
        <f t="shared" si="143"/>
        <v>0</v>
      </c>
      <c r="U250" s="43">
        <f>IF(OR(A250=Kontenplan!$C$3,A250=Kontenplan!$C$5),F250-G250,G250-F250)</f>
        <v>0</v>
      </c>
      <c r="V250" s="171">
        <f t="shared" si="126"/>
        <v>244</v>
      </c>
      <c r="W250" s="12">
        <f t="shared" si="127"/>
        <v>217</v>
      </c>
      <c r="X250" s="12">
        <f t="shared" si="128"/>
        <v>219</v>
      </c>
      <c r="Y250" s="12">
        <f>IF(Z250=0,VLOOKUP(W250,Kontenplan!$Y$9:$AA$551,3),"")</f>
        <v>0</v>
      </c>
      <c r="Z250" s="12">
        <f t="shared" si="144"/>
        <v>0</v>
      </c>
      <c r="AA250" s="12" t="str">
        <f t="shared" ca="1" si="145"/>
        <v/>
      </c>
      <c r="AB250" s="46" t="str">
        <f t="shared" ca="1" si="146"/>
        <v/>
      </c>
      <c r="AC250" s="46" t="str">
        <f t="shared" ca="1" si="147"/>
        <v/>
      </c>
      <c r="AD250" s="47"/>
      <c r="AE250" s="12">
        <f>IF(AF250=0,VLOOKUP(X250,Kontenplan!$Z$9:$AB$551,3),"")</f>
        <v>0</v>
      </c>
      <c r="AF250" s="47">
        <f t="shared" si="148"/>
        <v>0</v>
      </c>
      <c r="AG250" s="12" t="str">
        <f t="shared" ca="1" si="149"/>
        <v/>
      </c>
      <c r="AH250" s="46" t="str">
        <f t="shared" ca="1" si="150"/>
        <v/>
      </c>
      <c r="AI250" s="46" t="str">
        <f t="shared" ca="1" si="151"/>
        <v/>
      </c>
      <c r="AJ250" s="46"/>
      <c r="AK250" s="147">
        <f t="shared" ca="1" si="152"/>
        <v>2.0234000000000494</v>
      </c>
      <c r="AL250" s="147">
        <f t="shared" si="153"/>
        <v>2.02370000000005</v>
      </c>
      <c r="AM250" s="12" t="str">
        <f>IF(V250&lt;=AO$3,VLOOKUP(V250,Kontenplan!$A$9:$D$278,4),"")</f>
        <v/>
      </c>
      <c r="AN250" s="12">
        <f t="shared" si="154"/>
        <v>0</v>
      </c>
      <c r="AO250" s="12" t="str">
        <f t="shared" ca="1" si="155"/>
        <v/>
      </c>
      <c r="AP250" s="46" t="str">
        <f t="shared" ca="1" si="156"/>
        <v/>
      </c>
      <c r="AQ250" s="46" t="str">
        <f t="shared" ca="1" si="157"/>
        <v/>
      </c>
      <c r="AR250" s="46"/>
      <c r="AS250" s="147">
        <f t="shared" ca="1" si="158"/>
        <v>3.0233000000000492</v>
      </c>
      <c r="AT250" s="147">
        <f t="shared" si="159"/>
        <v>2.0238000000000502</v>
      </c>
      <c r="AU250" s="47" t="str">
        <f>IF(V250&lt;=AW$3,VLOOKUP(AO$3+V250,Kontenplan!$A$9:$D$278,4),"")</f>
        <v/>
      </c>
      <c r="AV250" s="12">
        <f t="shared" si="160"/>
        <v>0</v>
      </c>
      <c r="AW250" s="12" t="str">
        <f t="shared" ca="1" si="161"/>
        <v/>
      </c>
      <c r="AX250" s="46" t="str">
        <f t="shared" ca="1" si="129"/>
        <v/>
      </c>
      <c r="AY250" s="46" t="str">
        <f t="shared" ca="1" si="162"/>
        <v/>
      </c>
      <c r="AZ250" s="12"/>
      <c r="BA250" s="12">
        <f>Kontenplan!R252</f>
        <v>3</v>
      </c>
      <c r="BB250" s="12">
        <f>Kontenplan!S252</f>
        <v>2</v>
      </c>
      <c r="BC250" s="12">
        <f>Kontenplan!T252</f>
        <v>4</v>
      </c>
      <c r="BD250" s="170">
        <f>Kontenplan!U252</f>
        <v>4</v>
      </c>
      <c r="BE250" s="12"/>
      <c r="BF250" s="24">
        <f ca="1">SUM(AP$7:AP250)</f>
        <v>0</v>
      </c>
      <c r="BG250" s="46">
        <f ca="1">SUM(AQ$7:AQ249)</f>
        <v>0</v>
      </c>
      <c r="BH250" s="24">
        <f t="shared" ca="1" si="163"/>
        <v>0</v>
      </c>
      <c r="BI250" s="24"/>
      <c r="BJ250" s="24">
        <f ca="1">SUM(AX$7:AX250)</f>
        <v>0</v>
      </c>
      <c r="BK250" s="24">
        <f ca="1">SUM(AY$7:AY249)</f>
        <v>0</v>
      </c>
      <c r="BL250" s="24">
        <f t="shared" ca="1" si="164"/>
        <v>0</v>
      </c>
      <c r="BM250" s="12"/>
      <c r="BN250" s="24">
        <f ca="1">SUM(AB$7:AB250)</f>
        <v>0</v>
      </c>
      <c r="BO250" s="46">
        <f ca="1">SUM(AC$7:AC249)</f>
        <v>0</v>
      </c>
      <c r="BP250" s="24">
        <f t="shared" ca="1" si="165"/>
        <v>0</v>
      </c>
      <c r="BQ250" s="12"/>
      <c r="BR250" s="24">
        <f ca="1">SUM(AH$7:AH250)</f>
        <v>0</v>
      </c>
      <c r="BS250" s="46">
        <f ca="1">SUM(AI$7:AI249)</f>
        <v>0</v>
      </c>
      <c r="BT250" s="24">
        <f t="shared" ca="1" si="166"/>
        <v>0</v>
      </c>
    </row>
    <row r="251" spans="1:72">
      <c r="A251" s="202">
        <f>Kontenplan!C253</f>
        <v>0</v>
      </c>
      <c r="B251" s="224">
        <f>Kontenplan!E253</f>
        <v>0</v>
      </c>
      <c r="C251" s="225">
        <f>Kontenplan!F253</f>
        <v>0</v>
      </c>
      <c r="D251" s="43">
        <f>IF(B251=0,0,SUMIF(Journal!$F$7:$F$83,Calc!B251,Journal!$I$7:$I$83))</f>
        <v>0</v>
      </c>
      <c r="E251" s="15">
        <f>IF(B251=0,0,SUMIF(Journal!$G$7:$M325,Calc!B251,Journal!$I$7:$I$83))</f>
        <v>0</v>
      </c>
      <c r="F251" s="44">
        <f t="shared" si="130"/>
        <v>0</v>
      </c>
      <c r="G251" s="15">
        <f t="shared" si="131"/>
        <v>0</v>
      </c>
      <c r="H251" s="14" t="str">
        <f t="shared" si="132"/>
        <v xml:space="preserve"> </v>
      </c>
      <c r="I251" s="43" t="str">
        <f t="shared" si="133"/>
        <v xml:space="preserve"> </v>
      </c>
      <c r="J251" s="45" t="str">
        <f t="shared" si="134"/>
        <v xml:space="preserve"> </v>
      </c>
      <c r="K251" s="48" t="str">
        <f t="shared" si="135"/>
        <v xml:space="preserve"> </v>
      </c>
      <c r="L251" s="45" t="str">
        <f t="shared" si="136"/>
        <v xml:space="preserve"> </v>
      </c>
      <c r="M251" s="48" t="str">
        <f t="shared" si="137"/>
        <v xml:space="preserve"> </v>
      </c>
      <c r="N251" s="24"/>
      <c r="O251" s="12">
        <f t="shared" si="138"/>
        <v>10.04699999999989</v>
      </c>
      <c r="P251" s="12">
        <f t="shared" si="139"/>
        <v>9.0451999999998947</v>
      </c>
      <c r="Q251" s="12">
        <f t="shared" si="140"/>
        <v>31.038999999999909</v>
      </c>
      <c r="R251" s="12">
        <f t="shared" si="141"/>
        <v>29.033199999999923</v>
      </c>
      <c r="S251" s="12">
        <f t="shared" si="142"/>
        <v>0</v>
      </c>
      <c r="T251" s="12">
        <f t="shared" si="143"/>
        <v>0</v>
      </c>
      <c r="U251" s="43">
        <f>IF(OR(A251=Kontenplan!$C$3,A251=Kontenplan!$C$5),F251-G251,G251-F251)</f>
        <v>0</v>
      </c>
      <c r="V251" s="171">
        <f t="shared" si="126"/>
        <v>245</v>
      </c>
      <c r="W251" s="12">
        <f t="shared" si="127"/>
        <v>218</v>
      </c>
      <c r="X251" s="12">
        <f t="shared" si="128"/>
        <v>220</v>
      </c>
      <c r="Y251" s="12">
        <f>IF(Z251=0,VLOOKUP(W251,Kontenplan!$Y$9:$AA$551,3),"")</f>
        <v>0</v>
      </c>
      <c r="Z251" s="12">
        <f t="shared" si="144"/>
        <v>0</v>
      </c>
      <c r="AA251" s="12" t="str">
        <f t="shared" ca="1" si="145"/>
        <v/>
      </c>
      <c r="AB251" s="46" t="str">
        <f t="shared" ca="1" si="146"/>
        <v/>
      </c>
      <c r="AC251" s="46" t="str">
        <f t="shared" ca="1" si="147"/>
        <v/>
      </c>
      <c r="AD251" s="47"/>
      <c r="AE251" s="12">
        <f>IF(AF251=0,VLOOKUP(X251,Kontenplan!$Z$9:$AB$551,3),"")</f>
        <v>0</v>
      </c>
      <c r="AF251" s="47">
        <f t="shared" si="148"/>
        <v>0</v>
      </c>
      <c r="AG251" s="12" t="str">
        <f t="shared" ca="1" si="149"/>
        <v/>
      </c>
      <c r="AH251" s="46" t="str">
        <f t="shared" ca="1" si="150"/>
        <v/>
      </c>
      <c r="AI251" s="46" t="str">
        <f t="shared" ca="1" si="151"/>
        <v/>
      </c>
      <c r="AJ251" s="46"/>
      <c r="AK251" s="147">
        <f t="shared" ca="1" si="152"/>
        <v>2.0235000000000496</v>
      </c>
      <c r="AL251" s="147">
        <f t="shared" si="153"/>
        <v>2.0238000000000502</v>
      </c>
      <c r="AM251" s="12" t="str">
        <f>IF(V251&lt;=AO$3,VLOOKUP(V251,Kontenplan!$A$9:$D$278,4),"")</f>
        <v/>
      </c>
      <c r="AN251" s="12">
        <f t="shared" si="154"/>
        <v>0</v>
      </c>
      <c r="AO251" s="12" t="str">
        <f t="shared" ca="1" si="155"/>
        <v/>
      </c>
      <c r="AP251" s="46" t="str">
        <f t="shared" ca="1" si="156"/>
        <v/>
      </c>
      <c r="AQ251" s="46" t="str">
        <f t="shared" ca="1" si="157"/>
        <v/>
      </c>
      <c r="AR251" s="46"/>
      <c r="AS251" s="147">
        <f t="shared" ca="1" si="158"/>
        <v>3.0234000000000494</v>
      </c>
      <c r="AT251" s="147">
        <f t="shared" si="159"/>
        <v>2.0239000000000504</v>
      </c>
      <c r="AU251" s="47" t="str">
        <f>IF(V251&lt;=AW$3,VLOOKUP(AO$3+V251,Kontenplan!$A$9:$D$278,4),"")</f>
        <v/>
      </c>
      <c r="AV251" s="12">
        <f t="shared" si="160"/>
        <v>0</v>
      </c>
      <c r="AW251" s="12" t="str">
        <f t="shared" ca="1" si="161"/>
        <v/>
      </c>
      <c r="AX251" s="46" t="str">
        <f t="shared" ca="1" si="129"/>
        <v/>
      </c>
      <c r="AY251" s="46" t="str">
        <f t="shared" ca="1" si="162"/>
        <v/>
      </c>
      <c r="AZ251" s="12"/>
      <c r="BA251" s="12">
        <f>Kontenplan!R253</f>
        <v>3</v>
      </c>
      <c r="BB251" s="12">
        <f>Kontenplan!S253</f>
        <v>2</v>
      </c>
      <c r="BC251" s="12">
        <f>Kontenplan!T253</f>
        <v>4</v>
      </c>
      <c r="BD251" s="170">
        <f>Kontenplan!U253</f>
        <v>4</v>
      </c>
      <c r="BE251" s="12"/>
      <c r="BF251" s="24">
        <f ca="1">SUM(AP$7:AP251)</f>
        <v>0</v>
      </c>
      <c r="BG251" s="46">
        <f ca="1">SUM(AQ$7:AQ250)</f>
        <v>0</v>
      </c>
      <c r="BH251" s="24">
        <f t="shared" ca="1" si="163"/>
        <v>0</v>
      </c>
      <c r="BI251" s="24"/>
      <c r="BJ251" s="24">
        <f ca="1">SUM(AX$7:AX251)</f>
        <v>0</v>
      </c>
      <c r="BK251" s="24">
        <f ca="1">SUM(AY$7:AY250)</f>
        <v>0</v>
      </c>
      <c r="BL251" s="24">
        <f t="shared" ca="1" si="164"/>
        <v>0</v>
      </c>
      <c r="BM251" s="12"/>
      <c r="BN251" s="24">
        <f ca="1">SUM(AB$7:AB251)</f>
        <v>0</v>
      </c>
      <c r="BO251" s="46">
        <f ca="1">SUM(AC$7:AC250)</f>
        <v>0</v>
      </c>
      <c r="BP251" s="24">
        <f t="shared" ca="1" si="165"/>
        <v>0</v>
      </c>
      <c r="BQ251" s="12"/>
      <c r="BR251" s="24">
        <f ca="1">SUM(AH$7:AH251)</f>
        <v>0</v>
      </c>
      <c r="BS251" s="46">
        <f ca="1">SUM(AI$7:AI250)</f>
        <v>0</v>
      </c>
      <c r="BT251" s="24">
        <f t="shared" ca="1" si="166"/>
        <v>0</v>
      </c>
    </row>
    <row r="252" spans="1:72">
      <c r="A252" s="202">
        <f>Kontenplan!C254</f>
        <v>0</v>
      </c>
      <c r="B252" s="224">
        <f>Kontenplan!E254</f>
        <v>0</v>
      </c>
      <c r="C252" s="225">
        <f>Kontenplan!F254</f>
        <v>0</v>
      </c>
      <c r="D252" s="43">
        <f>IF(B252=0,0,SUMIF(Journal!$F$7:$F$83,Calc!B252,Journal!$I$7:$I$83))</f>
        <v>0</v>
      </c>
      <c r="E252" s="15">
        <f>IF(B252=0,0,SUMIF(Journal!$G$7:$M326,Calc!B252,Journal!$I$7:$I$83))</f>
        <v>0</v>
      </c>
      <c r="F252" s="44">
        <f t="shared" si="130"/>
        <v>0</v>
      </c>
      <c r="G252" s="15">
        <f t="shared" si="131"/>
        <v>0</v>
      </c>
      <c r="H252" s="14" t="str">
        <f t="shared" si="132"/>
        <v xml:space="preserve"> </v>
      </c>
      <c r="I252" s="43" t="str">
        <f t="shared" si="133"/>
        <v xml:space="preserve"> </v>
      </c>
      <c r="J252" s="45" t="str">
        <f t="shared" si="134"/>
        <v xml:space="preserve"> </v>
      </c>
      <c r="K252" s="48" t="str">
        <f t="shared" si="135"/>
        <v xml:space="preserve"> </v>
      </c>
      <c r="L252" s="45" t="str">
        <f t="shared" si="136"/>
        <v xml:space="preserve"> </v>
      </c>
      <c r="M252" s="48" t="str">
        <f t="shared" si="137"/>
        <v xml:space="preserve"> </v>
      </c>
      <c r="N252" s="24"/>
      <c r="O252" s="12">
        <f t="shared" si="138"/>
        <v>10.04719999999989</v>
      </c>
      <c r="P252" s="12">
        <f t="shared" si="139"/>
        <v>9.0453999999998942</v>
      </c>
      <c r="Q252" s="12">
        <f t="shared" si="140"/>
        <v>31.039199999999909</v>
      </c>
      <c r="R252" s="12">
        <f t="shared" si="141"/>
        <v>29.033399999999922</v>
      </c>
      <c r="S252" s="12">
        <f t="shared" si="142"/>
        <v>0</v>
      </c>
      <c r="T252" s="12">
        <f t="shared" si="143"/>
        <v>0</v>
      </c>
      <c r="U252" s="43">
        <f>IF(OR(A252=Kontenplan!$C$3,A252=Kontenplan!$C$5),F252-G252,G252-F252)</f>
        <v>0</v>
      </c>
      <c r="V252" s="171">
        <f t="shared" si="126"/>
        <v>246</v>
      </c>
      <c r="W252" s="12">
        <f t="shared" si="127"/>
        <v>219</v>
      </c>
      <c r="X252" s="12">
        <f t="shared" si="128"/>
        <v>221</v>
      </c>
      <c r="Y252" s="12">
        <f>IF(Z252=0,VLOOKUP(W252,Kontenplan!$Y$9:$AA$551,3),"")</f>
        <v>0</v>
      </c>
      <c r="Z252" s="12">
        <f t="shared" si="144"/>
        <v>0</v>
      </c>
      <c r="AA252" s="12" t="str">
        <f t="shared" ca="1" si="145"/>
        <v/>
      </c>
      <c r="AB252" s="46" t="str">
        <f t="shared" ca="1" si="146"/>
        <v/>
      </c>
      <c r="AC252" s="46" t="str">
        <f t="shared" ca="1" si="147"/>
        <v/>
      </c>
      <c r="AD252" s="47"/>
      <c r="AE252" s="12">
        <f>IF(AF252=0,VLOOKUP(X252,Kontenplan!$Z$9:$AB$551,3),"")</f>
        <v>0</v>
      </c>
      <c r="AF252" s="47">
        <f t="shared" si="148"/>
        <v>0</v>
      </c>
      <c r="AG252" s="12" t="str">
        <f t="shared" ca="1" si="149"/>
        <v/>
      </c>
      <c r="AH252" s="46" t="str">
        <f t="shared" ca="1" si="150"/>
        <v/>
      </c>
      <c r="AI252" s="46" t="str">
        <f t="shared" ca="1" si="151"/>
        <v/>
      </c>
      <c r="AJ252" s="46"/>
      <c r="AK252" s="147">
        <f t="shared" ca="1" si="152"/>
        <v>2.0236000000000498</v>
      </c>
      <c r="AL252" s="147">
        <f t="shared" si="153"/>
        <v>2.0239000000000504</v>
      </c>
      <c r="AM252" s="12" t="str">
        <f>IF(V252&lt;=AO$3,VLOOKUP(V252,Kontenplan!$A$9:$D$278,4),"")</f>
        <v/>
      </c>
      <c r="AN252" s="12">
        <f t="shared" si="154"/>
        <v>0</v>
      </c>
      <c r="AO252" s="12" t="str">
        <f t="shared" ca="1" si="155"/>
        <v/>
      </c>
      <c r="AP252" s="46" t="str">
        <f t="shared" ca="1" si="156"/>
        <v/>
      </c>
      <c r="AQ252" s="46" t="str">
        <f t="shared" ca="1" si="157"/>
        <v/>
      </c>
      <c r="AR252" s="46"/>
      <c r="AS252" s="147">
        <f t="shared" ca="1" si="158"/>
        <v>3.0235000000000496</v>
      </c>
      <c r="AT252" s="147">
        <f t="shared" si="159"/>
        <v>2.0240000000000506</v>
      </c>
      <c r="AU252" s="47" t="str">
        <f>IF(V252&lt;=AW$3,VLOOKUP(AO$3+V252,Kontenplan!$A$9:$D$278,4),"")</f>
        <v/>
      </c>
      <c r="AV252" s="12">
        <f t="shared" si="160"/>
        <v>0</v>
      </c>
      <c r="AW252" s="12" t="str">
        <f t="shared" ca="1" si="161"/>
        <v/>
      </c>
      <c r="AX252" s="46" t="str">
        <f t="shared" ca="1" si="129"/>
        <v/>
      </c>
      <c r="AY252" s="46" t="str">
        <f t="shared" ca="1" si="162"/>
        <v/>
      </c>
      <c r="AZ252" s="12"/>
      <c r="BA252" s="12">
        <f>Kontenplan!R254</f>
        <v>3</v>
      </c>
      <c r="BB252" s="12">
        <f>Kontenplan!S254</f>
        <v>2</v>
      </c>
      <c r="BC252" s="12">
        <f>Kontenplan!T254</f>
        <v>4</v>
      </c>
      <c r="BD252" s="170">
        <f>Kontenplan!U254</f>
        <v>4</v>
      </c>
      <c r="BE252" s="12"/>
      <c r="BF252" s="24">
        <f ca="1">SUM(AP$7:AP252)</f>
        <v>0</v>
      </c>
      <c r="BG252" s="46">
        <f ca="1">SUM(AQ$7:AQ251)</f>
        <v>0</v>
      </c>
      <c r="BH252" s="24">
        <f t="shared" ca="1" si="163"/>
        <v>0</v>
      </c>
      <c r="BI252" s="24"/>
      <c r="BJ252" s="24">
        <f ca="1">SUM(AX$7:AX252)</f>
        <v>0</v>
      </c>
      <c r="BK252" s="24">
        <f ca="1">SUM(AY$7:AY251)</f>
        <v>0</v>
      </c>
      <c r="BL252" s="24">
        <f t="shared" ca="1" si="164"/>
        <v>0</v>
      </c>
      <c r="BM252" s="12"/>
      <c r="BN252" s="24">
        <f ca="1">SUM(AB$7:AB252)</f>
        <v>0</v>
      </c>
      <c r="BO252" s="46">
        <f ca="1">SUM(AC$7:AC251)</f>
        <v>0</v>
      </c>
      <c r="BP252" s="24">
        <f t="shared" ca="1" si="165"/>
        <v>0</v>
      </c>
      <c r="BQ252" s="12"/>
      <c r="BR252" s="24">
        <f ca="1">SUM(AH$7:AH252)</f>
        <v>0</v>
      </c>
      <c r="BS252" s="46">
        <f ca="1">SUM(AI$7:AI251)</f>
        <v>0</v>
      </c>
      <c r="BT252" s="24">
        <f t="shared" ca="1" si="166"/>
        <v>0</v>
      </c>
    </row>
    <row r="253" spans="1:72">
      <c r="A253" s="202">
        <f>Kontenplan!C255</f>
        <v>0</v>
      </c>
      <c r="B253" s="224">
        <f>Kontenplan!E255</f>
        <v>0</v>
      </c>
      <c r="C253" s="225">
        <f>Kontenplan!F255</f>
        <v>0</v>
      </c>
      <c r="D253" s="43">
        <f>IF(B253=0,0,SUMIF(Journal!$F$7:$F$83,Calc!B253,Journal!$I$7:$I$83))</f>
        <v>0</v>
      </c>
      <c r="E253" s="15">
        <f>IF(B253=0,0,SUMIF(Journal!$G$7:$M327,Calc!B253,Journal!$I$7:$I$83))</f>
        <v>0</v>
      </c>
      <c r="F253" s="44">
        <f t="shared" si="130"/>
        <v>0</v>
      </c>
      <c r="G253" s="15">
        <f t="shared" si="131"/>
        <v>0</v>
      </c>
      <c r="H253" s="14" t="str">
        <f t="shared" si="132"/>
        <v xml:space="preserve"> </v>
      </c>
      <c r="I253" s="43" t="str">
        <f t="shared" si="133"/>
        <v xml:space="preserve"> </v>
      </c>
      <c r="J253" s="45" t="str">
        <f t="shared" si="134"/>
        <v xml:space="preserve"> </v>
      </c>
      <c r="K253" s="48" t="str">
        <f t="shared" si="135"/>
        <v xml:space="preserve"> </v>
      </c>
      <c r="L253" s="45" t="str">
        <f t="shared" si="136"/>
        <v xml:space="preserve"> </v>
      </c>
      <c r="M253" s="48" t="str">
        <f t="shared" si="137"/>
        <v xml:space="preserve"> </v>
      </c>
      <c r="N253" s="24"/>
      <c r="O253" s="12">
        <f t="shared" si="138"/>
        <v>10.04739999999989</v>
      </c>
      <c r="P253" s="12">
        <f t="shared" si="139"/>
        <v>9.0455999999998937</v>
      </c>
      <c r="Q253" s="12">
        <f t="shared" si="140"/>
        <v>31.039399999999908</v>
      </c>
      <c r="R253" s="12">
        <f t="shared" si="141"/>
        <v>29.033599999999922</v>
      </c>
      <c r="S253" s="12">
        <f t="shared" si="142"/>
        <v>0</v>
      </c>
      <c r="T253" s="12">
        <f t="shared" si="143"/>
        <v>0</v>
      </c>
      <c r="U253" s="43">
        <f>IF(OR(A253=Kontenplan!$C$3,A253=Kontenplan!$C$5),F253-G253,G253-F253)</f>
        <v>0</v>
      </c>
      <c r="V253" s="171">
        <f t="shared" si="126"/>
        <v>247</v>
      </c>
      <c r="W253" s="12">
        <f t="shared" si="127"/>
        <v>220</v>
      </c>
      <c r="X253" s="12">
        <f t="shared" si="128"/>
        <v>222</v>
      </c>
      <c r="Y253" s="12">
        <f>IF(Z253=0,VLOOKUP(W253,Kontenplan!$Y$9:$AA$551,3),"")</f>
        <v>0</v>
      </c>
      <c r="Z253" s="12">
        <f t="shared" si="144"/>
        <v>0</v>
      </c>
      <c r="AA253" s="12" t="str">
        <f t="shared" ca="1" si="145"/>
        <v/>
      </c>
      <c r="AB253" s="46" t="str">
        <f t="shared" ca="1" si="146"/>
        <v/>
      </c>
      <c r="AC253" s="46" t="str">
        <f t="shared" ca="1" si="147"/>
        <v/>
      </c>
      <c r="AD253" s="47"/>
      <c r="AE253" s="12">
        <f>IF(AF253=0,VLOOKUP(X253,Kontenplan!$Z$9:$AB$551,3),"")</f>
        <v>0</v>
      </c>
      <c r="AF253" s="47">
        <f t="shared" si="148"/>
        <v>0</v>
      </c>
      <c r="AG253" s="12" t="str">
        <f t="shared" ca="1" si="149"/>
        <v/>
      </c>
      <c r="AH253" s="46" t="str">
        <f t="shared" ca="1" si="150"/>
        <v/>
      </c>
      <c r="AI253" s="46" t="str">
        <f t="shared" ca="1" si="151"/>
        <v/>
      </c>
      <c r="AJ253" s="46"/>
      <c r="AK253" s="147">
        <f t="shared" ca="1" si="152"/>
        <v>2.02370000000005</v>
      </c>
      <c r="AL253" s="147">
        <f t="shared" si="153"/>
        <v>2.0240000000000506</v>
      </c>
      <c r="AM253" s="12" t="str">
        <f>IF(V253&lt;=AO$3,VLOOKUP(V253,Kontenplan!$A$9:$D$278,4),"")</f>
        <v/>
      </c>
      <c r="AN253" s="12">
        <f t="shared" si="154"/>
        <v>0</v>
      </c>
      <c r="AO253" s="12" t="str">
        <f t="shared" ca="1" si="155"/>
        <v/>
      </c>
      <c r="AP253" s="46" t="str">
        <f t="shared" ca="1" si="156"/>
        <v/>
      </c>
      <c r="AQ253" s="46" t="str">
        <f t="shared" ca="1" si="157"/>
        <v/>
      </c>
      <c r="AR253" s="46"/>
      <c r="AS253" s="147">
        <f t="shared" ca="1" si="158"/>
        <v>3.0236000000000498</v>
      </c>
      <c r="AT253" s="147">
        <f t="shared" si="159"/>
        <v>2.0241000000000509</v>
      </c>
      <c r="AU253" s="47" t="str">
        <f>IF(V253&lt;=AW$3,VLOOKUP(AO$3+V253,Kontenplan!$A$9:$D$278,4),"")</f>
        <v/>
      </c>
      <c r="AV253" s="12">
        <f t="shared" si="160"/>
        <v>0</v>
      </c>
      <c r="AW253" s="12" t="str">
        <f t="shared" ca="1" si="161"/>
        <v/>
      </c>
      <c r="AX253" s="46" t="str">
        <f t="shared" ca="1" si="129"/>
        <v/>
      </c>
      <c r="AY253" s="46" t="str">
        <f t="shared" ca="1" si="162"/>
        <v/>
      </c>
      <c r="AZ253" s="12"/>
      <c r="BA253" s="12">
        <f>Kontenplan!R255</f>
        <v>3</v>
      </c>
      <c r="BB253" s="12">
        <f>Kontenplan!S255</f>
        <v>2</v>
      </c>
      <c r="BC253" s="12">
        <f>Kontenplan!T255</f>
        <v>4</v>
      </c>
      <c r="BD253" s="170">
        <f>Kontenplan!U255</f>
        <v>4</v>
      </c>
      <c r="BE253" s="12"/>
      <c r="BF253" s="24">
        <f ca="1">SUM(AP$7:AP253)</f>
        <v>0</v>
      </c>
      <c r="BG253" s="46">
        <f ca="1">SUM(AQ$7:AQ252)</f>
        <v>0</v>
      </c>
      <c r="BH253" s="24">
        <f t="shared" ca="1" si="163"/>
        <v>0</v>
      </c>
      <c r="BI253" s="24"/>
      <c r="BJ253" s="24">
        <f ca="1">SUM(AX$7:AX253)</f>
        <v>0</v>
      </c>
      <c r="BK253" s="24">
        <f ca="1">SUM(AY$7:AY252)</f>
        <v>0</v>
      </c>
      <c r="BL253" s="24">
        <f t="shared" ca="1" si="164"/>
        <v>0</v>
      </c>
      <c r="BM253" s="12"/>
      <c r="BN253" s="24">
        <f ca="1">SUM(AB$7:AB253)</f>
        <v>0</v>
      </c>
      <c r="BO253" s="46">
        <f ca="1">SUM(AC$7:AC252)</f>
        <v>0</v>
      </c>
      <c r="BP253" s="24">
        <f t="shared" ca="1" si="165"/>
        <v>0</v>
      </c>
      <c r="BQ253" s="12"/>
      <c r="BR253" s="24">
        <f ca="1">SUM(AH$7:AH253)</f>
        <v>0</v>
      </c>
      <c r="BS253" s="46">
        <f ca="1">SUM(AI$7:AI252)</f>
        <v>0</v>
      </c>
      <c r="BT253" s="24">
        <f t="shared" ca="1" si="166"/>
        <v>0</v>
      </c>
    </row>
    <row r="254" spans="1:72">
      <c r="A254" s="202">
        <f>Kontenplan!C256</f>
        <v>0</v>
      </c>
      <c r="B254" s="224">
        <f>Kontenplan!E256</f>
        <v>0</v>
      </c>
      <c r="C254" s="225">
        <f>Kontenplan!F256</f>
        <v>0</v>
      </c>
      <c r="D254" s="43">
        <f>IF(B254=0,0,SUMIF(Journal!$F$7:$F$83,Calc!B254,Journal!$I$7:$I$83))</f>
        <v>0</v>
      </c>
      <c r="E254" s="15">
        <f>IF(B254=0,0,SUMIF(Journal!$G$7:$M328,Calc!B254,Journal!$I$7:$I$83))</f>
        <v>0</v>
      </c>
      <c r="F254" s="44">
        <f t="shared" si="130"/>
        <v>0</v>
      </c>
      <c r="G254" s="15">
        <f t="shared" si="131"/>
        <v>0</v>
      </c>
      <c r="H254" s="14" t="str">
        <f t="shared" si="132"/>
        <v xml:space="preserve"> </v>
      </c>
      <c r="I254" s="43" t="str">
        <f t="shared" si="133"/>
        <v xml:space="preserve"> </v>
      </c>
      <c r="J254" s="45" t="str">
        <f t="shared" si="134"/>
        <v xml:space="preserve"> </v>
      </c>
      <c r="K254" s="48" t="str">
        <f t="shared" si="135"/>
        <v xml:space="preserve"> </v>
      </c>
      <c r="L254" s="45" t="str">
        <f t="shared" si="136"/>
        <v xml:space="preserve"> </v>
      </c>
      <c r="M254" s="48" t="str">
        <f t="shared" si="137"/>
        <v xml:space="preserve"> </v>
      </c>
      <c r="N254" s="24"/>
      <c r="O254" s="12">
        <f t="shared" si="138"/>
        <v>10.047599999999889</v>
      </c>
      <c r="P254" s="12">
        <f t="shared" si="139"/>
        <v>9.0457999999998933</v>
      </c>
      <c r="Q254" s="12">
        <f t="shared" si="140"/>
        <v>31.039599999999908</v>
      </c>
      <c r="R254" s="12">
        <f t="shared" si="141"/>
        <v>29.033799999999921</v>
      </c>
      <c r="S254" s="12">
        <f t="shared" si="142"/>
        <v>0</v>
      </c>
      <c r="T254" s="12">
        <f t="shared" si="143"/>
        <v>0</v>
      </c>
      <c r="U254" s="43">
        <f>IF(OR(A254=Kontenplan!$C$3,A254=Kontenplan!$C$5),F254-G254,G254-F254)</f>
        <v>0</v>
      </c>
      <c r="V254" s="171">
        <f t="shared" si="126"/>
        <v>248</v>
      </c>
      <c r="W254" s="12">
        <f t="shared" si="127"/>
        <v>221</v>
      </c>
      <c r="X254" s="12">
        <f t="shared" si="128"/>
        <v>223</v>
      </c>
      <c r="Y254" s="12">
        <f>IF(Z254=0,VLOOKUP(W254,Kontenplan!$Y$9:$AA$551,3),"")</f>
        <v>0</v>
      </c>
      <c r="Z254" s="12">
        <f t="shared" si="144"/>
        <v>0</v>
      </c>
      <c r="AA254" s="12" t="str">
        <f t="shared" ca="1" si="145"/>
        <v/>
      </c>
      <c r="AB254" s="46" t="str">
        <f t="shared" ca="1" si="146"/>
        <v/>
      </c>
      <c r="AC254" s="46" t="str">
        <f t="shared" ca="1" si="147"/>
        <v/>
      </c>
      <c r="AD254" s="47"/>
      <c r="AE254" s="12">
        <f>IF(AF254=0,VLOOKUP(X254,Kontenplan!$Z$9:$AB$551,3),"")</f>
        <v>0</v>
      </c>
      <c r="AF254" s="47">
        <f t="shared" si="148"/>
        <v>0</v>
      </c>
      <c r="AG254" s="12" t="str">
        <f t="shared" ca="1" si="149"/>
        <v/>
      </c>
      <c r="AH254" s="46" t="str">
        <f t="shared" ca="1" si="150"/>
        <v/>
      </c>
      <c r="AI254" s="46" t="str">
        <f t="shared" ca="1" si="151"/>
        <v/>
      </c>
      <c r="AJ254" s="46"/>
      <c r="AK254" s="147">
        <f t="shared" ca="1" si="152"/>
        <v>2.0238000000000502</v>
      </c>
      <c r="AL254" s="147">
        <f t="shared" si="153"/>
        <v>2.0241000000000509</v>
      </c>
      <c r="AM254" s="12" t="str">
        <f>IF(V254&lt;=AO$3,VLOOKUP(V254,Kontenplan!$A$9:$D$278,4),"")</f>
        <v/>
      </c>
      <c r="AN254" s="12">
        <f t="shared" si="154"/>
        <v>0</v>
      </c>
      <c r="AO254" s="12" t="str">
        <f t="shared" ca="1" si="155"/>
        <v/>
      </c>
      <c r="AP254" s="46" t="str">
        <f t="shared" ca="1" si="156"/>
        <v/>
      </c>
      <c r="AQ254" s="46" t="str">
        <f t="shared" ca="1" si="157"/>
        <v/>
      </c>
      <c r="AR254" s="46"/>
      <c r="AS254" s="147">
        <f t="shared" ca="1" si="158"/>
        <v>3.02370000000005</v>
      </c>
      <c r="AT254" s="147">
        <f t="shared" si="159"/>
        <v>2.0242000000000511</v>
      </c>
      <c r="AU254" s="47" t="str">
        <f>IF(V254&lt;=AW$3,VLOOKUP(AO$3+V254,Kontenplan!$A$9:$D$278,4),"")</f>
        <v/>
      </c>
      <c r="AV254" s="12">
        <f t="shared" si="160"/>
        <v>0</v>
      </c>
      <c r="AW254" s="12" t="str">
        <f t="shared" ca="1" si="161"/>
        <v/>
      </c>
      <c r="AX254" s="46" t="str">
        <f t="shared" ca="1" si="129"/>
        <v/>
      </c>
      <c r="AY254" s="46" t="str">
        <f t="shared" ca="1" si="162"/>
        <v/>
      </c>
      <c r="AZ254" s="12"/>
      <c r="BA254" s="12">
        <f>Kontenplan!R256</f>
        <v>3</v>
      </c>
      <c r="BB254" s="12">
        <f>Kontenplan!S256</f>
        <v>2</v>
      </c>
      <c r="BC254" s="12">
        <f>Kontenplan!T256</f>
        <v>4</v>
      </c>
      <c r="BD254" s="170">
        <f>Kontenplan!U256</f>
        <v>4</v>
      </c>
      <c r="BE254" s="12"/>
      <c r="BF254" s="24">
        <f ca="1">SUM(AP$7:AP254)</f>
        <v>0</v>
      </c>
      <c r="BG254" s="46">
        <f ca="1">SUM(AQ$7:AQ253)</f>
        <v>0</v>
      </c>
      <c r="BH254" s="24">
        <f t="shared" ca="1" si="163"/>
        <v>0</v>
      </c>
      <c r="BI254" s="24"/>
      <c r="BJ254" s="24">
        <f ca="1">SUM(AX$7:AX254)</f>
        <v>0</v>
      </c>
      <c r="BK254" s="24">
        <f ca="1">SUM(AY$7:AY253)</f>
        <v>0</v>
      </c>
      <c r="BL254" s="24">
        <f t="shared" ca="1" si="164"/>
        <v>0</v>
      </c>
      <c r="BM254" s="12"/>
      <c r="BN254" s="24">
        <f ca="1">SUM(AB$7:AB254)</f>
        <v>0</v>
      </c>
      <c r="BO254" s="46">
        <f ca="1">SUM(AC$7:AC253)</f>
        <v>0</v>
      </c>
      <c r="BP254" s="24">
        <f t="shared" ca="1" si="165"/>
        <v>0</v>
      </c>
      <c r="BQ254" s="12"/>
      <c r="BR254" s="24">
        <f ca="1">SUM(AH$7:AH254)</f>
        <v>0</v>
      </c>
      <c r="BS254" s="46">
        <f ca="1">SUM(AI$7:AI253)</f>
        <v>0</v>
      </c>
      <c r="BT254" s="24">
        <f t="shared" ca="1" si="166"/>
        <v>0</v>
      </c>
    </row>
    <row r="255" spans="1:72">
      <c r="A255" s="202">
        <f>Kontenplan!C257</f>
        <v>0</v>
      </c>
      <c r="B255" s="224">
        <f>Kontenplan!E257</f>
        <v>0</v>
      </c>
      <c r="C255" s="225">
        <f>Kontenplan!F257</f>
        <v>0</v>
      </c>
      <c r="D255" s="43">
        <f>IF(B255=0,0,SUMIF(Journal!$F$7:$F$83,Calc!B255,Journal!$I$7:$I$83))</f>
        <v>0</v>
      </c>
      <c r="E255" s="15">
        <f>IF(B255=0,0,SUMIF(Journal!$G$7:$M329,Calc!B255,Journal!$I$7:$I$83))</f>
        <v>0</v>
      </c>
      <c r="F255" s="44">
        <f t="shared" si="130"/>
        <v>0</v>
      </c>
      <c r="G255" s="15">
        <f t="shared" si="131"/>
        <v>0</v>
      </c>
      <c r="H255" s="14" t="str">
        <f t="shared" si="132"/>
        <v xml:space="preserve"> </v>
      </c>
      <c r="I255" s="43" t="str">
        <f t="shared" si="133"/>
        <v xml:space="preserve"> </v>
      </c>
      <c r="J255" s="45" t="str">
        <f t="shared" si="134"/>
        <v xml:space="preserve"> </v>
      </c>
      <c r="K255" s="48" t="str">
        <f t="shared" si="135"/>
        <v xml:space="preserve"> </v>
      </c>
      <c r="L255" s="45" t="str">
        <f t="shared" si="136"/>
        <v xml:space="preserve"> </v>
      </c>
      <c r="M255" s="48" t="str">
        <f t="shared" si="137"/>
        <v xml:space="preserve"> </v>
      </c>
      <c r="N255" s="24"/>
      <c r="O255" s="12">
        <f t="shared" si="138"/>
        <v>10.047799999999889</v>
      </c>
      <c r="P255" s="12">
        <f t="shared" si="139"/>
        <v>9.0459999999998928</v>
      </c>
      <c r="Q255" s="12">
        <f t="shared" si="140"/>
        <v>31.039799999999907</v>
      </c>
      <c r="R255" s="12">
        <f t="shared" si="141"/>
        <v>29.033999999999921</v>
      </c>
      <c r="S255" s="12">
        <f t="shared" si="142"/>
        <v>0</v>
      </c>
      <c r="T255" s="12">
        <f t="shared" si="143"/>
        <v>0</v>
      </c>
      <c r="U255" s="43">
        <f>IF(OR(A255=Kontenplan!$C$3,A255=Kontenplan!$C$5),F255-G255,G255-F255)</f>
        <v>0</v>
      </c>
      <c r="V255" s="171">
        <f t="shared" si="126"/>
        <v>249</v>
      </c>
      <c r="W255" s="12">
        <f t="shared" si="127"/>
        <v>222</v>
      </c>
      <c r="X255" s="12">
        <f t="shared" si="128"/>
        <v>224</v>
      </c>
      <c r="Y255" s="12">
        <f>IF(Z255=0,VLOOKUP(W255,Kontenplan!$Y$9:$AA$551,3),"")</f>
        <v>0</v>
      </c>
      <c r="Z255" s="12">
        <f t="shared" si="144"/>
        <v>0</v>
      </c>
      <c r="AA255" s="12" t="str">
        <f t="shared" ca="1" si="145"/>
        <v/>
      </c>
      <c r="AB255" s="46" t="str">
        <f t="shared" ca="1" si="146"/>
        <v/>
      </c>
      <c r="AC255" s="46" t="str">
        <f t="shared" ca="1" si="147"/>
        <v/>
      </c>
      <c r="AD255" s="47"/>
      <c r="AE255" s="12">
        <f>IF(AF255=0,VLOOKUP(X255,Kontenplan!$Z$9:$AB$551,3),"")</f>
        <v>0</v>
      </c>
      <c r="AF255" s="47">
        <f t="shared" si="148"/>
        <v>0</v>
      </c>
      <c r="AG255" s="12" t="str">
        <f t="shared" ca="1" si="149"/>
        <v/>
      </c>
      <c r="AH255" s="46" t="str">
        <f t="shared" ca="1" si="150"/>
        <v/>
      </c>
      <c r="AI255" s="46" t="str">
        <f t="shared" ca="1" si="151"/>
        <v/>
      </c>
      <c r="AJ255" s="46"/>
      <c r="AK255" s="147">
        <f t="shared" ca="1" si="152"/>
        <v>2.0239000000000504</v>
      </c>
      <c r="AL255" s="147">
        <f t="shared" si="153"/>
        <v>2.0242000000000511</v>
      </c>
      <c r="AM255" s="12" t="str">
        <f>IF(V255&lt;=AO$3,VLOOKUP(V255,Kontenplan!$A$9:$D$278,4),"")</f>
        <v/>
      </c>
      <c r="AN255" s="12">
        <f t="shared" si="154"/>
        <v>0</v>
      </c>
      <c r="AO255" s="12" t="str">
        <f t="shared" ca="1" si="155"/>
        <v/>
      </c>
      <c r="AP255" s="46" t="str">
        <f t="shared" ca="1" si="156"/>
        <v/>
      </c>
      <c r="AQ255" s="46" t="str">
        <f t="shared" ca="1" si="157"/>
        <v/>
      </c>
      <c r="AR255" s="46"/>
      <c r="AS255" s="147">
        <f t="shared" ca="1" si="158"/>
        <v>3.0238000000000502</v>
      </c>
      <c r="AT255" s="147">
        <f t="shared" si="159"/>
        <v>2.0243000000000513</v>
      </c>
      <c r="AU255" s="47" t="str">
        <f>IF(V255&lt;=AW$3,VLOOKUP(AO$3+V255,Kontenplan!$A$9:$D$278,4),"")</f>
        <v/>
      </c>
      <c r="AV255" s="12">
        <f t="shared" si="160"/>
        <v>0</v>
      </c>
      <c r="AW255" s="12" t="str">
        <f t="shared" ca="1" si="161"/>
        <v/>
      </c>
      <c r="AX255" s="46" t="str">
        <f t="shared" ca="1" si="129"/>
        <v/>
      </c>
      <c r="AY255" s="46" t="str">
        <f t="shared" ca="1" si="162"/>
        <v/>
      </c>
      <c r="AZ255" s="12"/>
      <c r="BA255" s="12">
        <f>Kontenplan!R257</f>
        <v>3</v>
      </c>
      <c r="BB255" s="12">
        <f>Kontenplan!S257</f>
        <v>2</v>
      </c>
      <c r="BC255" s="12">
        <f>Kontenplan!T257</f>
        <v>4</v>
      </c>
      <c r="BD255" s="170">
        <f>Kontenplan!U257</f>
        <v>4</v>
      </c>
      <c r="BE255" s="12"/>
      <c r="BF255" s="24">
        <f ca="1">SUM(AP$7:AP255)</f>
        <v>0</v>
      </c>
      <c r="BG255" s="46">
        <f ca="1">SUM(AQ$7:AQ254)</f>
        <v>0</v>
      </c>
      <c r="BH255" s="24">
        <f t="shared" ca="1" si="163"/>
        <v>0</v>
      </c>
      <c r="BI255" s="24"/>
      <c r="BJ255" s="24">
        <f ca="1">SUM(AX$7:AX255)</f>
        <v>0</v>
      </c>
      <c r="BK255" s="24">
        <f ca="1">SUM(AY$7:AY254)</f>
        <v>0</v>
      </c>
      <c r="BL255" s="24">
        <f t="shared" ca="1" si="164"/>
        <v>0</v>
      </c>
      <c r="BM255" s="12"/>
      <c r="BN255" s="24">
        <f ca="1">SUM(AB$7:AB255)</f>
        <v>0</v>
      </c>
      <c r="BO255" s="46">
        <f ca="1">SUM(AC$7:AC254)</f>
        <v>0</v>
      </c>
      <c r="BP255" s="24">
        <f t="shared" ca="1" si="165"/>
        <v>0</v>
      </c>
      <c r="BQ255" s="12"/>
      <c r="BR255" s="24">
        <f ca="1">SUM(AH$7:AH255)</f>
        <v>0</v>
      </c>
      <c r="BS255" s="46">
        <f ca="1">SUM(AI$7:AI254)</f>
        <v>0</v>
      </c>
      <c r="BT255" s="24">
        <f t="shared" ca="1" si="166"/>
        <v>0</v>
      </c>
    </row>
    <row r="256" spans="1:72">
      <c r="A256" s="202">
        <f>Kontenplan!C258</f>
        <v>0</v>
      </c>
      <c r="B256" s="224">
        <f>Kontenplan!E258</f>
        <v>0</v>
      </c>
      <c r="C256" s="225">
        <f>Kontenplan!F258</f>
        <v>0</v>
      </c>
      <c r="D256" s="43">
        <f>IF(B256=0,0,SUMIF(Journal!$F$7:$F$83,Calc!B256,Journal!$I$7:$I$83))</f>
        <v>0</v>
      </c>
      <c r="E256" s="15">
        <f>IF(B256=0,0,SUMIF(Journal!$G$7:$M330,Calc!B256,Journal!$I$7:$I$83))</f>
        <v>0</v>
      </c>
      <c r="F256" s="44">
        <f t="shared" si="130"/>
        <v>0</v>
      </c>
      <c r="G256" s="15">
        <f t="shared" si="131"/>
        <v>0</v>
      </c>
      <c r="H256" s="14" t="str">
        <f t="shared" si="132"/>
        <v xml:space="preserve"> </v>
      </c>
      <c r="I256" s="43" t="str">
        <f t="shared" si="133"/>
        <v xml:space="preserve"> </v>
      </c>
      <c r="J256" s="45" t="str">
        <f t="shared" si="134"/>
        <v xml:space="preserve"> </v>
      </c>
      <c r="K256" s="48" t="str">
        <f t="shared" si="135"/>
        <v xml:space="preserve"> </v>
      </c>
      <c r="L256" s="45" t="str">
        <f t="shared" si="136"/>
        <v xml:space="preserve"> </v>
      </c>
      <c r="M256" s="48" t="str">
        <f t="shared" si="137"/>
        <v xml:space="preserve"> </v>
      </c>
      <c r="N256" s="24"/>
      <c r="O256" s="12">
        <f t="shared" si="138"/>
        <v>10.047999999999888</v>
      </c>
      <c r="P256" s="12">
        <f t="shared" si="139"/>
        <v>9.0461999999998923</v>
      </c>
      <c r="Q256" s="12">
        <f t="shared" si="140"/>
        <v>31.039999999999907</v>
      </c>
      <c r="R256" s="12">
        <f t="shared" si="141"/>
        <v>29.03419999999992</v>
      </c>
      <c r="S256" s="12">
        <f t="shared" si="142"/>
        <v>0</v>
      </c>
      <c r="T256" s="12">
        <f t="shared" si="143"/>
        <v>0</v>
      </c>
      <c r="U256" s="43">
        <f>IF(OR(A256=Kontenplan!$C$3,A256=Kontenplan!$C$5),F256-G256,G256-F256)</f>
        <v>0</v>
      </c>
      <c r="V256" s="171">
        <f t="shared" si="126"/>
        <v>250</v>
      </c>
      <c r="W256" s="12">
        <f t="shared" si="127"/>
        <v>223</v>
      </c>
      <c r="X256" s="12">
        <f t="shared" si="128"/>
        <v>225</v>
      </c>
      <c r="Y256" s="12">
        <f>IF(Z256=0,VLOOKUP(W256,Kontenplan!$Y$9:$AA$551,3),"")</f>
        <v>0</v>
      </c>
      <c r="Z256" s="12">
        <f t="shared" si="144"/>
        <v>0</v>
      </c>
      <c r="AA256" s="12" t="str">
        <f t="shared" ca="1" si="145"/>
        <v/>
      </c>
      <c r="AB256" s="46" t="str">
        <f t="shared" ca="1" si="146"/>
        <v/>
      </c>
      <c r="AC256" s="46" t="str">
        <f t="shared" ca="1" si="147"/>
        <v/>
      </c>
      <c r="AD256" s="47"/>
      <c r="AE256" s="12">
        <f>IF(AF256=0,VLOOKUP(X256,Kontenplan!$Z$9:$AB$551,3),"")</f>
        <v>0</v>
      </c>
      <c r="AF256" s="47">
        <f t="shared" si="148"/>
        <v>0</v>
      </c>
      <c r="AG256" s="12" t="str">
        <f t="shared" ca="1" si="149"/>
        <v/>
      </c>
      <c r="AH256" s="46" t="str">
        <f t="shared" ca="1" si="150"/>
        <v/>
      </c>
      <c r="AI256" s="46" t="str">
        <f t="shared" ca="1" si="151"/>
        <v/>
      </c>
      <c r="AJ256" s="46"/>
      <c r="AK256" s="147">
        <f t="shared" ca="1" si="152"/>
        <v>2.0240000000000506</v>
      </c>
      <c r="AL256" s="147">
        <f t="shared" si="153"/>
        <v>2.0243000000000513</v>
      </c>
      <c r="AM256" s="12" t="str">
        <f>IF(V256&lt;=AO$3,VLOOKUP(V256,Kontenplan!$A$9:$D$278,4),"")</f>
        <v/>
      </c>
      <c r="AN256" s="12">
        <f t="shared" si="154"/>
        <v>0</v>
      </c>
      <c r="AO256" s="12" t="str">
        <f t="shared" ca="1" si="155"/>
        <v/>
      </c>
      <c r="AP256" s="46" t="str">
        <f t="shared" ca="1" si="156"/>
        <v/>
      </c>
      <c r="AQ256" s="46" t="str">
        <f t="shared" ca="1" si="157"/>
        <v/>
      </c>
      <c r="AR256" s="46"/>
      <c r="AS256" s="147">
        <f t="shared" ca="1" si="158"/>
        <v>3.0239000000000504</v>
      </c>
      <c r="AT256" s="147">
        <f t="shared" si="159"/>
        <v>2.0244000000000515</v>
      </c>
      <c r="AU256" s="47" t="str">
        <f>IF(V256&lt;=AW$3,VLOOKUP(AO$3+V256,Kontenplan!$A$9:$D$278,4),"")</f>
        <v/>
      </c>
      <c r="AV256" s="12">
        <f t="shared" si="160"/>
        <v>0</v>
      </c>
      <c r="AW256" s="12" t="str">
        <f t="shared" ca="1" si="161"/>
        <v/>
      </c>
      <c r="AX256" s="46" t="str">
        <f t="shared" ca="1" si="129"/>
        <v/>
      </c>
      <c r="AY256" s="46" t="str">
        <f t="shared" ca="1" si="162"/>
        <v/>
      </c>
      <c r="AZ256" s="12"/>
      <c r="BA256" s="12">
        <f>Kontenplan!R258</f>
        <v>3</v>
      </c>
      <c r="BB256" s="12">
        <f>Kontenplan!S258</f>
        <v>2</v>
      </c>
      <c r="BC256" s="12">
        <f>Kontenplan!T258</f>
        <v>4</v>
      </c>
      <c r="BD256" s="170">
        <f>Kontenplan!U258</f>
        <v>4</v>
      </c>
      <c r="BE256" s="12"/>
      <c r="BF256" s="24">
        <f ca="1">SUM(AP$7:AP256)</f>
        <v>0</v>
      </c>
      <c r="BG256" s="46">
        <f ca="1">SUM(AQ$7:AQ255)</f>
        <v>0</v>
      </c>
      <c r="BH256" s="24">
        <f t="shared" ca="1" si="163"/>
        <v>0</v>
      </c>
      <c r="BI256" s="24"/>
      <c r="BJ256" s="24">
        <f ca="1">SUM(AX$7:AX256)</f>
        <v>0</v>
      </c>
      <c r="BK256" s="24">
        <f ca="1">SUM(AY$7:AY255)</f>
        <v>0</v>
      </c>
      <c r="BL256" s="24">
        <f t="shared" ca="1" si="164"/>
        <v>0</v>
      </c>
      <c r="BM256" s="12"/>
      <c r="BN256" s="24">
        <f ca="1">SUM(AB$7:AB256)</f>
        <v>0</v>
      </c>
      <c r="BO256" s="46">
        <f ca="1">SUM(AC$7:AC255)</f>
        <v>0</v>
      </c>
      <c r="BP256" s="24">
        <f t="shared" ca="1" si="165"/>
        <v>0</v>
      </c>
      <c r="BQ256" s="12"/>
      <c r="BR256" s="24">
        <f ca="1">SUM(AH$7:AH256)</f>
        <v>0</v>
      </c>
      <c r="BS256" s="46">
        <f ca="1">SUM(AI$7:AI255)</f>
        <v>0</v>
      </c>
      <c r="BT256" s="24">
        <f t="shared" ca="1" si="166"/>
        <v>0</v>
      </c>
    </row>
    <row r="257" spans="1:72">
      <c r="A257" s="202">
        <f>Kontenplan!C259</f>
        <v>0</v>
      </c>
      <c r="B257" s="224">
        <f>Kontenplan!E259</f>
        <v>0</v>
      </c>
      <c r="C257" s="225">
        <f>Kontenplan!F259</f>
        <v>0</v>
      </c>
      <c r="D257" s="43">
        <f>IF(B257=0,0,SUMIF(Journal!$F$7:$F$83,Calc!B257,Journal!$I$7:$I$83))</f>
        <v>0</v>
      </c>
      <c r="E257" s="15">
        <f>IF(B257=0,0,SUMIF(Journal!$G$7:$M331,Calc!B257,Journal!$I$7:$I$83))</f>
        <v>0</v>
      </c>
      <c r="F257" s="44">
        <f t="shared" si="130"/>
        <v>0</v>
      </c>
      <c r="G257" s="15">
        <f t="shared" si="131"/>
        <v>0</v>
      </c>
      <c r="H257" s="14" t="str">
        <f t="shared" si="132"/>
        <v xml:space="preserve"> </v>
      </c>
      <c r="I257" s="43" t="str">
        <f t="shared" si="133"/>
        <v xml:space="preserve"> </v>
      </c>
      <c r="J257" s="45" t="str">
        <f t="shared" si="134"/>
        <v xml:space="preserve"> </v>
      </c>
      <c r="K257" s="48" t="str">
        <f t="shared" si="135"/>
        <v xml:space="preserve"> </v>
      </c>
      <c r="L257" s="45" t="str">
        <f t="shared" si="136"/>
        <v xml:space="preserve"> </v>
      </c>
      <c r="M257" s="48" t="str">
        <f t="shared" si="137"/>
        <v xml:space="preserve"> </v>
      </c>
      <c r="N257" s="24"/>
      <c r="O257" s="12">
        <f t="shared" si="138"/>
        <v>10.048199999999888</v>
      </c>
      <c r="P257" s="12">
        <f t="shared" si="139"/>
        <v>9.0463999999998919</v>
      </c>
      <c r="Q257" s="12">
        <f t="shared" si="140"/>
        <v>31.040199999999906</v>
      </c>
      <c r="R257" s="12">
        <f t="shared" si="141"/>
        <v>29.03439999999992</v>
      </c>
      <c r="S257" s="12">
        <f t="shared" si="142"/>
        <v>0</v>
      </c>
      <c r="T257" s="12">
        <f t="shared" si="143"/>
        <v>0</v>
      </c>
      <c r="U257" s="43">
        <f>IF(OR(A257=Kontenplan!$C$3,A257=Kontenplan!$C$5),F257-G257,G257-F257)</f>
        <v>0</v>
      </c>
      <c r="V257" s="171">
        <f t="shared" si="126"/>
        <v>251</v>
      </c>
      <c r="W257" s="12">
        <f t="shared" si="127"/>
        <v>224</v>
      </c>
      <c r="X257" s="12">
        <f t="shared" si="128"/>
        <v>226</v>
      </c>
      <c r="Y257" s="12">
        <f>IF(Z257=0,VLOOKUP(W257,Kontenplan!$Y$9:$AA$551,3),"")</f>
        <v>0</v>
      </c>
      <c r="Z257" s="12">
        <f t="shared" si="144"/>
        <v>0</v>
      </c>
      <c r="AA257" s="12" t="str">
        <f t="shared" ca="1" si="145"/>
        <v/>
      </c>
      <c r="AB257" s="46" t="str">
        <f t="shared" ca="1" si="146"/>
        <v/>
      </c>
      <c r="AC257" s="46" t="str">
        <f t="shared" ca="1" si="147"/>
        <v/>
      </c>
      <c r="AD257" s="47"/>
      <c r="AE257" s="12">
        <f>IF(AF257=0,VLOOKUP(X257,Kontenplan!$Z$9:$AB$551,3),"")</f>
        <v>0</v>
      </c>
      <c r="AF257" s="47">
        <f t="shared" si="148"/>
        <v>0</v>
      </c>
      <c r="AG257" s="12" t="str">
        <f t="shared" ca="1" si="149"/>
        <v/>
      </c>
      <c r="AH257" s="46" t="str">
        <f t="shared" ca="1" si="150"/>
        <v/>
      </c>
      <c r="AI257" s="46" t="str">
        <f t="shared" ca="1" si="151"/>
        <v/>
      </c>
      <c r="AJ257" s="46"/>
      <c r="AK257" s="147">
        <f t="shared" ca="1" si="152"/>
        <v>2.0241000000000509</v>
      </c>
      <c r="AL257" s="147">
        <f t="shared" si="153"/>
        <v>2.0244000000000515</v>
      </c>
      <c r="AM257" s="12" t="str">
        <f>IF(V257&lt;=AO$3,VLOOKUP(V257,Kontenplan!$A$9:$D$278,4),"")</f>
        <v/>
      </c>
      <c r="AN257" s="12">
        <f t="shared" si="154"/>
        <v>0</v>
      </c>
      <c r="AO257" s="12" t="str">
        <f t="shared" ca="1" si="155"/>
        <v/>
      </c>
      <c r="AP257" s="46" t="str">
        <f t="shared" ca="1" si="156"/>
        <v/>
      </c>
      <c r="AQ257" s="46" t="str">
        <f t="shared" ca="1" si="157"/>
        <v/>
      </c>
      <c r="AR257" s="46"/>
      <c r="AS257" s="147">
        <f t="shared" ca="1" si="158"/>
        <v>3.0240000000000506</v>
      </c>
      <c r="AT257" s="147">
        <f t="shared" si="159"/>
        <v>2.0245000000000517</v>
      </c>
      <c r="AU257" s="47" t="str">
        <f>IF(V257&lt;=AW$3,VLOOKUP(AO$3+V257,Kontenplan!$A$9:$D$278,4),"")</f>
        <v/>
      </c>
      <c r="AV257" s="12">
        <f t="shared" si="160"/>
        <v>0</v>
      </c>
      <c r="AW257" s="12" t="str">
        <f t="shared" ca="1" si="161"/>
        <v/>
      </c>
      <c r="AX257" s="46" t="str">
        <f t="shared" ca="1" si="129"/>
        <v/>
      </c>
      <c r="AY257" s="46" t="str">
        <f t="shared" ca="1" si="162"/>
        <v/>
      </c>
      <c r="AZ257" s="12"/>
      <c r="BA257" s="12">
        <f>Kontenplan!R259</f>
        <v>3</v>
      </c>
      <c r="BB257" s="12">
        <f>Kontenplan!S259</f>
        <v>2</v>
      </c>
      <c r="BC257" s="12">
        <f>Kontenplan!T259</f>
        <v>4</v>
      </c>
      <c r="BD257" s="170">
        <f>Kontenplan!U259</f>
        <v>4</v>
      </c>
      <c r="BE257" s="12"/>
      <c r="BF257" s="24">
        <f ca="1">SUM(AP$7:AP257)</f>
        <v>0</v>
      </c>
      <c r="BG257" s="46">
        <f ca="1">SUM(AQ$7:AQ256)</f>
        <v>0</v>
      </c>
      <c r="BH257" s="24">
        <f t="shared" ca="1" si="163"/>
        <v>0</v>
      </c>
      <c r="BI257" s="24"/>
      <c r="BJ257" s="24">
        <f ca="1">SUM(AX$7:AX257)</f>
        <v>0</v>
      </c>
      <c r="BK257" s="24">
        <f ca="1">SUM(AY$7:AY256)</f>
        <v>0</v>
      </c>
      <c r="BL257" s="24">
        <f t="shared" ca="1" si="164"/>
        <v>0</v>
      </c>
      <c r="BM257" s="12"/>
      <c r="BN257" s="24">
        <f ca="1">SUM(AB$7:AB257)</f>
        <v>0</v>
      </c>
      <c r="BO257" s="46">
        <f ca="1">SUM(AC$7:AC256)</f>
        <v>0</v>
      </c>
      <c r="BP257" s="24">
        <f t="shared" ca="1" si="165"/>
        <v>0</v>
      </c>
      <c r="BQ257" s="12"/>
      <c r="BR257" s="24">
        <f ca="1">SUM(AH$7:AH257)</f>
        <v>0</v>
      </c>
      <c r="BS257" s="46">
        <f ca="1">SUM(AI$7:AI256)</f>
        <v>0</v>
      </c>
      <c r="BT257" s="24">
        <f t="shared" ca="1" si="166"/>
        <v>0</v>
      </c>
    </row>
    <row r="258" spans="1:72">
      <c r="A258" s="202">
        <f>Kontenplan!C260</f>
        <v>0</v>
      </c>
      <c r="B258" s="224">
        <f>Kontenplan!E260</f>
        <v>0</v>
      </c>
      <c r="C258" s="225">
        <f>Kontenplan!F260</f>
        <v>0</v>
      </c>
      <c r="D258" s="43">
        <f>IF(B258=0,0,SUMIF(Journal!$F$7:$F$83,Calc!B258,Journal!$I$7:$I$83))</f>
        <v>0</v>
      </c>
      <c r="E258" s="15">
        <f>IF(B258=0,0,SUMIF(Journal!$G$7:$M332,Calc!B258,Journal!$I$7:$I$83))</f>
        <v>0</v>
      </c>
      <c r="F258" s="44">
        <f t="shared" si="130"/>
        <v>0</v>
      </c>
      <c r="G258" s="15">
        <f t="shared" si="131"/>
        <v>0</v>
      </c>
      <c r="H258" s="14" t="str">
        <f t="shared" si="132"/>
        <v xml:space="preserve"> </v>
      </c>
      <c r="I258" s="43" t="str">
        <f t="shared" si="133"/>
        <v xml:space="preserve"> </v>
      </c>
      <c r="J258" s="45" t="str">
        <f t="shared" si="134"/>
        <v xml:space="preserve"> </v>
      </c>
      <c r="K258" s="48" t="str">
        <f t="shared" si="135"/>
        <v xml:space="preserve"> </v>
      </c>
      <c r="L258" s="45" t="str">
        <f t="shared" si="136"/>
        <v xml:space="preserve"> </v>
      </c>
      <c r="M258" s="48" t="str">
        <f t="shared" si="137"/>
        <v xml:space="preserve"> </v>
      </c>
      <c r="N258" s="24"/>
      <c r="O258" s="12">
        <f t="shared" si="138"/>
        <v>10.048399999999887</v>
      </c>
      <c r="P258" s="12">
        <f t="shared" si="139"/>
        <v>9.0465999999998914</v>
      </c>
      <c r="Q258" s="12">
        <f t="shared" si="140"/>
        <v>31.040399999999906</v>
      </c>
      <c r="R258" s="12">
        <f t="shared" si="141"/>
        <v>29.034599999999919</v>
      </c>
      <c r="S258" s="12">
        <f t="shared" si="142"/>
        <v>0</v>
      </c>
      <c r="T258" s="12">
        <f t="shared" si="143"/>
        <v>0</v>
      </c>
      <c r="U258" s="43">
        <f>IF(OR(A258=Kontenplan!$C$3,A258=Kontenplan!$C$5),F258-G258,G258-F258)</f>
        <v>0</v>
      </c>
      <c r="V258" s="171">
        <f t="shared" si="126"/>
        <v>252</v>
      </c>
      <c r="W258" s="12">
        <f t="shared" si="127"/>
        <v>225</v>
      </c>
      <c r="X258" s="12">
        <f t="shared" si="128"/>
        <v>227</v>
      </c>
      <c r="Y258" s="12">
        <f>IF(Z258=0,VLOOKUP(W258,Kontenplan!$Y$9:$AA$551,3),"")</f>
        <v>0</v>
      </c>
      <c r="Z258" s="12">
        <f t="shared" si="144"/>
        <v>0</v>
      </c>
      <c r="AA258" s="12" t="str">
        <f t="shared" ca="1" si="145"/>
        <v/>
      </c>
      <c r="AB258" s="46" t="str">
        <f t="shared" ca="1" si="146"/>
        <v/>
      </c>
      <c r="AC258" s="46" t="str">
        <f t="shared" ca="1" si="147"/>
        <v/>
      </c>
      <c r="AD258" s="47"/>
      <c r="AE258" s="12">
        <f>IF(AF258=0,VLOOKUP(X258,Kontenplan!$Z$9:$AB$551,3),"")</f>
        <v>0</v>
      </c>
      <c r="AF258" s="47">
        <f t="shared" si="148"/>
        <v>0</v>
      </c>
      <c r="AG258" s="12" t="str">
        <f t="shared" ca="1" si="149"/>
        <v/>
      </c>
      <c r="AH258" s="46" t="str">
        <f t="shared" ca="1" si="150"/>
        <v/>
      </c>
      <c r="AI258" s="46" t="str">
        <f t="shared" ca="1" si="151"/>
        <v/>
      </c>
      <c r="AJ258" s="46"/>
      <c r="AK258" s="147">
        <f t="shared" ca="1" si="152"/>
        <v>2.0242000000000511</v>
      </c>
      <c r="AL258" s="147">
        <f t="shared" si="153"/>
        <v>2.0245000000000517</v>
      </c>
      <c r="AM258" s="12" t="str">
        <f>IF(V258&lt;=AO$3,VLOOKUP(V258,Kontenplan!$A$9:$D$278,4),"")</f>
        <v/>
      </c>
      <c r="AN258" s="12">
        <f t="shared" si="154"/>
        <v>0</v>
      </c>
      <c r="AO258" s="12" t="str">
        <f t="shared" ca="1" si="155"/>
        <v/>
      </c>
      <c r="AP258" s="46" t="str">
        <f t="shared" ca="1" si="156"/>
        <v/>
      </c>
      <c r="AQ258" s="46" t="str">
        <f t="shared" ca="1" si="157"/>
        <v/>
      </c>
      <c r="AR258" s="46"/>
      <c r="AS258" s="147">
        <f t="shared" ca="1" si="158"/>
        <v>3.0241000000000509</v>
      </c>
      <c r="AT258" s="147">
        <f t="shared" si="159"/>
        <v>2.0246000000000519</v>
      </c>
      <c r="AU258" s="47" t="str">
        <f>IF(V258&lt;=AW$3,VLOOKUP(AO$3+V258,Kontenplan!$A$9:$D$278,4),"")</f>
        <v/>
      </c>
      <c r="AV258" s="12">
        <f t="shared" si="160"/>
        <v>0</v>
      </c>
      <c r="AW258" s="12" t="str">
        <f t="shared" ca="1" si="161"/>
        <v/>
      </c>
      <c r="AX258" s="46" t="str">
        <f t="shared" ca="1" si="129"/>
        <v/>
      </c>
      <c r="AY258" s="46" t="str">
        <f t="shared" ca="1" si="162"/>
        <v/>
      </c>
      <c r="AZ258" s="12"/>
      <c r="BA258" s="12">
        <f>Kontenplan!R260</f>
        <v>3</v>
      </c>
      <c r="BB258" s="12">
        <f>Kontenplan!S260</f>
        <v>2</v>
      </c>
      <c r="BC258" s="12">
        <f>Kontenplan!T260</f>
        <v>4</v>
      </c>
      <c r="BD258" s="170">
        <f>Kontenplan!U260</f>
        <v>4</v>
      </c>
      <c r="BE258" s="12"/>
      <c r="BF258" s="24">
        <f ca="1">SUM(AP$7:AP258)</f>
        <v>0</v>
      </c>
      <c r="BG258" s="46">
        <f ca="1">SUM(AQ$7:AQ257)</f>
        <v>0</v>
      </c>
      <c r="BH258" s="24">
        <f t="shared" ca="1" si="163"/>
        <v>0</v>
      </c>
      <c r="BI258" s="24"/>
      <c r="BJ258" s="24">
        <f ca="1">SUM(AX$7:AX258)</f>
        <v>0</v>
      </c>
      <c r="BK258" s="24">
        <f ca="1">SUM(AY$7:AY257)</f>
        <v>0</v>
      </c>
      <c r="BL258" s="24">
        <f t="shared" ca="1" si="164"/>
        <v>0</v>
      </c>
      <c r="BM258" s="12"/>
      <c r="BN258" s="24">
        <f ca="1">SUM(AB$7:AB258)</f>
        <v>0</v>
      </c>
      <c r="BO258" s="46">
        <f ca="1">SUM(AC$7:AC257)</f>
        <v>0</v>
      </c>
      <c r="BP258" s="24">
        <f t="shared" ca="1" si="165"/>
        <v>0</v>
      </c>
      <c r="BQ258" s="12"/>
      <c r="BR258" s="24">
        <f ca="1">SUM(AH$7:AH258)</f>
        <v>0</v>
      </c>
      <c r="BS258" s="46">
        <f ca="1">SUM(AI$7:AI257)</f>
        <v>0</v>
      </c>
      <c r="BT258" s="24">
        <f t="shared" ca="1" si="166"/>
        <v>0</v>
      </c>
    </row>
    <row r="259" spans="1:72">
      <c r="A259" s="202">
        <f>Kontenplan!C261</f>
        <v>0</v>
      </c>
      <c r="B259" s="224">
        <f>Kontenplan!E261</f>
        <v>0</v>
      </c>
      <c r="C259" s="225">
        <f>Kontenplan!F261</f>
        <v>0</v>
      </c>
      <c r="D259" s="43">
        <f>IF(B259=0,0,SUMIF(Journal!$F$7:$F$83,Calc!B259,Journal!$I$7:$I$83))</f>
        <v>0</v>
      </c>
      <c r="E259" s="15">
        <f>IF(B259=0,0,SUMIF(Journal!$G$7:$M333,Calc!B259,Journal!$I$7:$I$83))</f>
        <v>0</v>
      </c>
      <c r="F259" s="44">
        <f t="shared" si="130"/>
        <v>0</v>
      </c>
      <c r="G259" s="15">
        <f t="shared" si="131"/>
        <v>0</v>
      </c>
      <c r="H259" s="14" t="str">
        <f t="shared" si="132"/>
        <v xml:space="preserve"> </v>
      </c>
      <c r="I259" s="43" t="str">
        <f t="shared" si="133"/>
        <v xml:space="preserve"> </v>
      </c>
      <c r="J259" s="45" t="str">
        <f t="shared" si="134"/>
        <v xml:space="preserve"> </v>
      </c>
      <c r="K259" s="48" t="str">
        <f t="shared" si="135"/>
        <v xml:space="preserve"> </v>
      </c>
      <c r="L259" s="45" t="str">
        <f t="shared" si="136"/>
        <v xml:space="preserve"> </v>
      </c>
      <c r="M259" s="48" t="str">
        <f t="shared" si="137"/>
        <v xml:space="preserve"> </v>
      </c>
      <c r="N259" s="24"/>
      <c r="O259" s="12">
        <f t="shared" si="138"/>
        <v>10.048599999999887</v>
      </c>
      <c r="P259" s="12">
        <f t="shared" si="139"/>
        <v>9.0467999999998909</v>
      </c>
      <c r="Q259" s="12">
        <f t="shared" si="140"/>
        <v>31.040599999999905</v>
      </c>
      <c r="R259" s="12">
        <f t="shared" si="141"/>
        <v>29.034799999999919</v>
      </c>
      <c r="S259" s="12">
        <f t="shared" si="142"/>
        <v>0</v>
      </c>
      <c r="T259" s="12">
        <f t="shared" si="143"/>
        <v>0</v>
      </c>
      <c r="U259" s="43">
        <f>IF(OR(A259=Kontenplan!$C$3,A259=Kontenplan!$C$5),F259-G259,G259-F259)</f>
        <v>0</v>
      </c>
      <c r="V259" s="171">
        <f t="shared" si="126"/>
        <v>253</v>
      </c>
      <c r="W259" s="12">
        <f t="shared" si="127"/>
        <v>226</v>
      </c>
      <c r="X259" s="12">
        <f t="shared" si="128"/>
        <v>228</v>
      </c>
      <c r="Y259" s="12">
        <f>IF(Z259=0,VLOOKUP(W259,Kontenplan!$Y$9:$AA$551,3),"")</f>
        <v>0</v>
      </c>
      <c r="Z259" s="12">
        <f t="shared" si="144"/>
        <v>0</v>
      </c>
      <c r="AA259" s="12" t="str">
        <f t="shared" ca="1" si="145"/>
        <v/>
      </c>
      <c r="AB259" s="46" t="str">
        <f t="shared" ca="1" si="146"/>
        <v/>
      </c>
      <c r="AC259" s="46" t="str">
        <f t="shared" ca="1" si="147"/>
        <v/>
      </c>
      <c r="AD259" s="47"/>
      <c r="AE259" s="12">
        <f>IF(AF259=0,VLOOKUP(X259,Kontenplan!$Z$9:$AB$551,3),"")</f>
        <v>0</v>
      </c>
      <c r="AF259" s="47">
        <f t="shared" si="148"/>
        <v>0</v>
      </c>
      <c r="AG259" s="12" t="str">
        <f t="shared" ca="1" si="149"/>
        <v/>
      </c>
      <c r="AH259" s="46" t="str">
        <f t="shared" ca="1" si="150"/>
        <v/>
      </c>
      <c r="AI259" s="46" t="str">
        <f t="shared" ca="1" si="151"/>
        <v/>
      </c>
      <c r="AJ259" s="46"/>
      <c r="AK259" s="147">
        <f t="shared" ca="1" si="152"/>
        <v>2.0243000000000513</v>
      </c>
      <c r="AL259" s="147">
        <f t="shared" si="153"/>
        <v>2.0246000000000519</v>
      </c>
      <c r="AM259" s="12" t="str">
        <f>IF(V259&lt;=AO$3,VLOOKUP(V259,Kontenplan!$A$9:$D$278,4),"")</f>
        <v/>
      </c>
      <c r="AN259" s="12">
        <f t="shared" si="154"/>
        <v>0</v>
      </c>
      <c r="AO259" s="12" t="str">
        <f t="shared" ca="1" si="155"/>
        <v/>
      </c>
      <c r="AP259" s="46" t="str">
        <f t="shared" ca="1" si="156"/>
        <v/>
      </c>
      <c r="AQ259" s="46" t="str">
        <f t="shared" ca="1" si="157"/>
        <v/>
      </c>
      <c r="AR259" s="46"/>
      <c r="AS259" s="147">
        <f t="shared" ca="1" si="158"/>
        <v>3.0242000000000511</v>
      </c>
      <c r="AT259" s="147">
        <f t="shared" si="159"/>
        <v>2.0247000000000521</v>
      </c>
      <c r="AU259" s="47" t="str">
        <f>IF(V259&lt;=AW$3,VLOOKUP(AO$3+V259,Kontenplan!$A$9:$D$278,4),"")</f>
        <v/>
      </c>
      <c r="AV259" s="12">
        <f t="shared" si="160"/>
        <v>0</v>
      </c>
      <c r="AW259" s="12" t="str">
        <f t="shared" ca="1" si="161"/>
        <v/>
      </c>
      <c r="AX259" s="46" t="str">
        <f t="shared" ca="1" si="129"/>
        <v/>
      </c>
      <c r="AY259" s="46" t="str">
        <f t="shared" ca="1" si="162"/>
        <v/>
      </c>
      <c r="AZ259" s="12"/>
      <c r="BA259" s="12">
        <f>Kontenplan!R261</f>
        <v>3</v>
      </c>
      <c r="BB259" s="12">
        <f>Kontenplan!S261</f>
        <v>2</v>
      </c>
      <c r="BC259" s="12">
        <f>Kontenplan!T261</f>
        <v>4</v>
      </c>
      <c r="BD259" s="170">
        <f>Kontenplan!U261</f>
        <v>4</v>
      </c>
      <c r="BE259" s="12"/>
      <c r="BF259" s="24">
        <f ca="1">SUM(AP$7:AP259)</f>
        <v>0</v>
      </c>
      <c r="BG259" s="46">
        <f ca="1">SUM(AQ$7:AQ258)</f>
        <v>0</v>
      </c>
      <c r="BH259" s="24">
        <f t="shared" ca="1" si="163"/>
        <v>0</v>
      </c>
      <c r="BI259" s="24"/>
      <c r="BJ259" s="24">
        <f ca="1">SUM(AX$7:AX259)</f>
        <v>0</v>
      </c>
      <c r="BK259" s="24">
        <f ca="1">SUM(AY$7:AY258)</f>
        <v>0</v>
      </c>
      <c r="BL259" s="24">
        <f t="shared" ca="1" si="164"/>
        <v>0</v>
      </c>
      <c r="BM259" s="12"/>
      <c r="BN259" s="24">
        <f ca="1">SUM(AB$7:AB259)</f>
        <v>0</v>
      </c>
      <c r="BO259" s="46">
        <f ca="1">SUM(AC$7:AC258)</f>
        <v>0</v>
      </c>
      <c r="BP259" s="24">
        <f t="shared" ca="1" si="165"/>
        <v>0</v>
      </c>
      <c r="BQ259" s="12"/>
      <c r="BR259" s="24">
        <f ca="1">SUM(AH$7:AH259)</f>
        <v>0</v>
      </c>
      <c r="BS259" s="46">
        <f ca="1">SUM(AI$7:AI258)</f>
        <v>0</v>
      </c>
      <c r="BT259" s="24">
        <f t="shared" ca="1" si="166"/>
        <v>0</v>
      </c>
    </row>
    <row r="260" spans="1:72">
      <c r="A260" s="202">
        <f>Kontenplan!C262</f>
        <v>0</v>
      </c>
      <c r="B260" s="224">
        <f>Kontenplan!E262</f>
        <v>0</v>
      </c>
      <c r="C260" s="225">
        <f>Kontenplan!F262</f>
        <v>0</v>
      </c>
      <c r="D260" s="43">
        <f>IF(B260=0,0,SUMIF(Journal!$F$7:$F$83,Calc!B260,Journal!$I$7:$I$83))</f>
        <v>0</v>
      </c>
      <c r="E260" s="15">
        <f>IF(B260=0,0,SUMIF(Journal!$G$7:$M334,Calc!B260,Journal!$I$7:$I$83))</f>
        <v>0</v>
      </c>
      <c r="F260" s="44">
        <f t="shared" si="130"/>
        <v>0</v>
      </c>
      <c r="G260" s="15">
        <f t="shared" si="131"/>
        <v>0</v>
      </c>
      <c r="H260" s="14" t="str">
        <f t="shared" si="132"/>
        <v xml:space="preserve"> </v>
      </c>
      <c r="I260" s="43" t="str">
        <f t="shared" si="133"/>
        <v xml:space="preserve"> </v>
      </c>
      <c r="J260" s="45" t="str">
        <f t="shared" si="134"/>
        <v xml:space="preserve"> </v>
      </c>
      <c r="K260" s="48" t="str">
        <f t="shared" si="135"/>
        <v xml:space="preserve"> </v>
      </c>
      <c r="L260" s="45" t="str">
        <f t="shared" si="136"/>
        <v xml:space="preserve"> </v>
      </c>
      <c r="M260" s="48" t="str">
        <f t="shared" si="137"/>
        <v xml:space="preserve"> </v>
      </c>
      <c r="N260" s="24"/>
      <c r="O260" s="12">
        <f t="shared" si="138"/>
        <v>10.048799999999886</v>
      </c>
      <c r="P260" s="12">
        <f t="shared" si="139"/>
        <v>9.0469999999998905</v>
      </c>
      <c r="Q260" s="12">
        <f t="shared" si="140"/>
        <v>31.040799999999905</v>
      </c>
      <c r="R260" s="12">
        <f t="shared" si="141"/>
        <v>29.034999999999918</v>
      </c>
      <c r="S260" s="12">
        <f t="shared" si="142"/>
        <v>0</v>
      </c>
      <c r="T260" s="12">
        <f t="shared" si="143"/>
        <v>0</v>
      </c>
      <c r="U260" s="43">
        <f>IF(OR(A260=Kontenplan!$C$3,A260=Kontenplan!$C$5),F260-G260,G260-F260)</f>
        <v>0</v>
      </c>
      <c r="V260" s="171">
        <f t="shared" si="126"/>
        <v>254</v>
      </c>
      <c r="W260" s="12">
        <f t="shared" si="127"/>
        <v>227</v>
      </c>
      <c r="X260" s="12">
        <f t="shared" si="128"/>
        <v>229</v>
      </c>
      <c r="Y260" s="12">
        <f>IF(Z260=0,VLOOKUP(W260,Kontenplan!$Y$9:$AA$551,3),"")</f>
        <v>0</v>
      </c>
      <c r="Z260" s="12">
        <f t="shared" si="144"/>
        <v>0</v>
      </c>
      <c r="AA260" s="12" t="str">
        <f t="shared" ca="1" si="145"/>
        <v/>
      </c>
      <c r="AB260" s="46" t="str">
        <f t="shared" ca="1" si="146"/>
        <v/>
      </c>
      <c r="AC260" s="46" t="str">
        <f t="shared" ca="1" si="147"/>
        <v/>
      </c>
      <c r="AD260" s="47"/>
      <c r="AE260" s="12">
        <f>IF(AF260=0,VLOOKUP(X260,Kontenplan!$Z$9:$AB$551,3),"")</f>
        <v>0</v>
      </c>
      <c r="AF260" s="47">
        <f t="shared" si="148"/>
        <v>0</v>
      </c>
      <c r="AG260" s="12" t="str">
        <f t="shared" ca="1" si="149"/>
        <v/>
      </c>
      <c r="AH260" s="46" t="str">
        <f t="shared" ca="1" si="150"/>
        <v/>
      </c>
      <c r="AI260" s="46" t="str">
        <f t="shared" ca="1" si="151"/>
        <v/>
      </c>
      <c r="AJ260" s="46"/>
      <c r="AK260" s="147">
        <f t="shared" ca="1" si="152"/>
        <v>2.0244000000000515</v>
      </c>
      <c r="AL260" s="147">
        <f t="shared" si="153"/>
        <v>2.0247000000000521</v>
      </c>
      <c r="AM260" s="12" t="str">
        <f>IF(V260&lt;=AO$3,VLOOKUP(V260,Kontenplan!$A$9:$D$278,4),"")</f>
        <v/>
      </c>
      <c r="AN260" s="12">
        <f t="shared" si="154"/>
        <v>0</v>
      </c>
      <c r="AO260" s="12" t="str">
        <f t="shared" ca="1" si="155"/>
        <v/>
      </c>
      <c r="AP260" s="46" t="str">
        <f t="shared" ca="1" si="156"/>
        <v/>
      </c>
      <c r="AQ260" s="46" t="str">
        <f t="shared" ca="1" si="157"/>
        <v/>
      </c>
      <c r="AR260" s="46"/>
      <c r="AS260" s="147">
        <f t="shared" ca="1" si="158"/>
        <v>3.0243000000000513</v>
      </c>
      <c r="AT260" s="147">
        <f t="shared" si="159"/>
        <v>2.0248000000000523</v>
      </c>
      <c r="AU260" s="47" t="str">
        <f>IF(V260&lt;=AW$3,VLOOKUP(AO$3+V260,Kontenplan!$A$9:$D$278,4),"")</f>
        <v/>
      </c>
      <c r="AV260" s="12">
        <f t="shared" si="160"/>
        <v>0</v>
      </c>
      <c r="AW260" s="12" t="str">
        <f t="shared" ca="1" si="161"/>
        <v/>
      </c>
      <c r="AX260" s="46" t="str">
        <f t="shared" ca="1" si="129"/>
        <v/>
      </c>
      <c r="AY260" s="46" t="str">
        <f t="shared" ca="1" si="162"/>
        <v/>
      </c>
      <c r="AZ260" s="12"/>
      <c r="BA260" s="12">
        <f>Kontenplan!R262</f>
        <v>3</v>
      </c>
      <c r="BB260" s="12">
        <f>Kontenplan!S262</f>
        <v>2</v>
      </c>
      <c r="BC260" s="12">
        <f>Kontenplan!T262</f>
        <v>4</v>
      </c>
      <c r="BD260" s="170">
        <f>Kontenplan!U262</f>
        <v>4</v>
      </c>
      <c r="BE260" s="12"/>
      <c r="BF260" s="24">
        <f ca="1">SUM(AP$7:AP260)</f>
        <v>0</v>
      </c>
      <c r="BG260" s="46">
        <f ca="1">SUM(AQ$7:AQ259)</f>
        <v>0</v>
      </c>
      <c r="BH260" s="24">
        <f t="shared" ca="1" si="163"/>
        <v>0</v>
      </c>
      <c r="BI260" s="24"/>
      <c r="BJ260" s="24">
        <f ca="1">SUM(AX$7:AX260)</f>
        <v>0</v>
      </c>
      <c r="BK260" s="24">
        <f ca="1">SUM(AY$7:AY259)</f>
        <v>0</v>
      </c>
      <c r="BL260" s="24">
        <f t="shared" ca="1" si="164"/>
        <v>0</v>
      </c>
      <c r="BM260" s="12"/>
      <c r="BN260" s="24">
        <f ca="1">SUM(AB$7:AB260)</f>
        <v>0</v>
      </c>
      <c r="BO260" s="46">
        <f ca="1">SUM(AC$7:AC259)</f>
        <v>0</v>
      </c>
      <c r="BP260" s="24">
        <f t="shared" ca="1" si="165"/>
        <v>0</v>
      </c>
      <c r="BQ260" s="12"/>
      <c r="BR260" s="24">
        <f ca="1">SUM(AH$7:AH260)</f>
        <v>0</v>
      </c>
      <c r="BS260" s="46">
        <f ca="1">SUM(AI$7:AI259)</f>
        <v>0</v>
      </c>
      <c r="BT260" s="24">
        <f t="shared" ca="1" si="166"/>
        <v>0</v>
      </c>
    </row>
    <row r="261" spans="1:72">
      <c r="A261" s="202">
        <f>Kontenplan!C263</f>
        <v>0</v>
      </c>
      <c r="B261" s="224">
        <f>Kontenplan!E263</f>
        <v>0</v>
      </c>
      <c r="C261" s="225">
        <f>Kontenplan!F263</f>
        <v>0</v>
      </c>
      <c r="D261" s="43">
        <f>IF(B261=0,0,SUMIF(Journal!$F$7:$F$83,Calc!B261,Journal!$I$7:$I$83))</f>
        <v>0</v>
      </c>
      <c r="E261" s="15">
        <f>IF(B261=0,0,SUMIF(Journal!$G$7:$M335,Calc!B261,Journal!$I$7:$I$83))</f>
        <v>0</v>
      </c>
      <c r="F261" s="44">
        <f t="shared" si="130"/>
        <v>0</v>
      </c>
      <c r="G261" s="15">
        <f t="shared" si="131"/>
        <v>0</v>
      </c>
      <c r="H261" s="14" t="str">
        <f t="shared" si="132"/>
        <v xml:space="preserve"> </v>
      </c>
      <c r="I261" s="43" t="str">
        <f t="shared" si="133"/>
        <v xml:space="preserve"> </v>
      </c>
      <c r="J261" s="45" t="str">
        <f t="shared" si="134"/>
        <v xml:space="preserve"> </v>
      </c>
      <c r="K261" s="48" t="str">
        <f t="shared" si="135"/>
        <v xml:space="preserve"> </v>
      </c>
      <c r="L261" s="45" t="str">
        <f t="shared" si="136"/>
        <v xml:space="preserve"> </v>
      </c>
      <c r="M261" s="48" t="str">
        <f t="shared" si="137"/>
        <v xml:space="preserve"> </v>
      </c>
      <c r="N261" s="24"/>
      <c r="O261" s="12">
        <f t="shared" si="138"/>
        <v>10.048999999999886</v>
      </c>
      <c r="P261" s="12">
        <f t="shared" si="139"/>
        <v>9.04719999999989</v>
      </c>
      <c r="Q261" s="12">
        <f t="shared" si="140"/>
        <v>31.040999999999904</v>
      </c>
      <c r="R261" s="12">
        <f t="shared" si="141"/>
        <v>29.035199999999918</v>
      </c>
      <c r="S261" s="12">
        <f t="shared" si="142"/>
        <v>0</v>
      </c>
      <c r="T261" s="12">
        <f t="shared" si="143"/>
        <v>0</v>
      </c>
      <c r="U261" s="43">
        <f>IF(OR(A261=Kontenplan!$C$3,A261=Kontenplan!$C$5),F261-G261,G261-F261)</f>
        <v>0</v>
      </c>
      <c r="V261" s="171">
        <f t="shared" si="126"/>
        <v>255</v>
      </c>
      <c r="W261" s="12">
        <f t="shared" si="127"/>
        <v>228</v>
      </c>
      <c r="X261" s="12">
        <f t="shared" si="128"/>
        <v>230</v>
      </c>
      <c r="Y261" s="12">
        <f>IF(Z261=0,VLOOKUP(W261,Kontenplan!$Y$9:$AA$551,3),"")</f>
        <v>0</v>
      </c>
      <c r="Z261" s="12">
        <f t="shared" si="144"/>
        <v>0</v>
      </c>
      <c r="AA261" s="12" t="str">
        <f t="shared" ca="1" si="145"/>
        <v/>
      </c>
      <c r="AB261" s="46" t="str">
        <f t="shared" ca="1" si="146"/>
        <v/>
      </c>
      <c r="AC261" s="46" t="str">
        <f t="shared" ca="1" si="147"/>
        <v/>
      </c>
      <c r="AD261" s="47"/>
      <c r="AE261" s="12">
        <f>IF(AF261=0,VLOOKUP(X261,Kontenplan!$Z$9:$AB$551,3),"")</f>
        <v>0</v>
      </c>
      <c r="AF261" s="47">
        <f t="shared" si="148"/>
        <v>0</v>
      </c>
      <c r="AG261" s="12" t="str">
        <f t="shared" ca="1" si="149"/>
        <v/>
      </c>
      <c r="AH261" s="46" t="str">
        <f t="shared" ca="1" si="150"/>
        <v/>
      </c>
      <c r="AI261" s="46" t="str">
        <f t="shared" ca="1" si="151"/>
        <v/>
      </c>
      <c r="AJ261" s="46"/>
      <c r="AK261" s="147">
        <f t="shared" ca="1" si="152"/>
        <v>2.0245000000000517</v>
      </c>
      <c r="AL261" s="147">
        <f t="shared" si="153"/>
        <v>2.0248000000000523</v>
      </c>
      <c r="AM261" s="12" t="str">
        <f>IF(V261&lt;=AO$3,VLOOKUP(V261,Kontenplan!$A$9:$D$278,4),"")</f>
        <v/>
      </c>
      <c r="AN261" s="12">
        <f t="shared" si="154"/>
        <v>0</v>
      </c>
      <c r="AO261" s="12" t="str">
        <f t="shared" ca="1" si="155"/>
        <v/>
      </c>
      <c r="AP261" s="46" t="str">
        <f t="shared" ca="1" si="156"/>
        <v/>
      </c>
      <c r="AQ261" s="46" t="str">
        <f t="shared" ca="1" si="157"/>
        <v/>
      </c>
      <c r="AR261" s="46"/>
      <c r="AS261" s="147">
        <f t="shared" ca="1" si="158"/>
        <v>3.0244000000000515</v>
      </c>
      <c r="AT261" s="147">
        <f t="shared" si="159"/>
        <v>2.0249000000000525</v>
      </c>
      <c r="AU261" s="47" t="str">
        <f>IF(V261&lt;=AW$3,VLOOKUP(AO$3+V261,Kontenplan!$A$9:$D$278,4),"")</f>
        <v/>
      </c>
      <c r="AV261" s="12">
        <f t="shared" si="160"/>
        <v>0</v>
      </c>
      <c r="AW261" s="12" t="str">
        <f t="shared" ca="1" si="161"/>
        <v/>
      </c>
      <c r="AX261" s="46" t="str">
        <f t="shared" ca="1" si="129"/>
        <v/>
      </c>
      <c r="AY261" s="46" t="str">
        <f t="shared" ca="1" si="162"/>
        <v/>
      </c>
      <c r="AZ261" s="12"/>
      <c r="BA261" s="12">
        <f>Kontenplan!R263</f>
        <v>3</v>
      </c>
      <c r="BB261" s="12">
        <f>Kontenplan!S263</f>
        <v>2</v>
      </c>
      <c r="BC261" s="12">
        <f>Kontenplan!T263</f>
        <v>4</v>
      </c>
      <c r="BD261" s="170">
        <f>Kontenplan!U263</f>
        <v>4</v>
      </c>
      <c r="BE261" s="12"/>
      <c r="BF261" s="24">
        <f ca="1">SUM(AP$7:AP261)</f>
        <v>0</v>
      </c>
      <c r="BG261" s="46">
        <f ca="1">SUM(AQ$7:AQ260)</f>
        <v>0</v>
      </c>
      <c r="BH261" s="24">
        <f t="shared" ca="1" si="163"/>
        <v>0</v>
      </c>
      <c r="BI261" s="24"/>
      <c r="BJ261" s="24">
        <f ca="1">SUM(AX$7:AX261)</f>
        <v>0</v>
      </c>
      <c r="BK261" s="24">
        <f ca="1">SUM(AY$7:AY260)</f>
        <v>0</v>
      </c>
      <c r="BL261" s="24">
        <f t="shared" ca="1" si="164"/>
        <v>0</v>
      </c>
      <c r="BM261" s="12"/>
      <c r="BN261" s="24">
        <f ca="1">SUM(AB$7:AB261)</f>
        <v>0</v>
      </c>
      <c r="BO261" s="46">
        <f ca="1">SUM(AC$7:AC260)</f>
        <v>0</v>
      </c>
      <c r="BP261" s="24">
        <f t="shared" ca="1" si="165"/>
        <v>0</v>
      </c>
      <c r="BQ261" s="12"/>
      <c r="BR261" s="24">
        <f ca="1">SUM(AH$7:AH261)</f>
        <v>0</v>
      </c>
      <c r="BS261" s="46">
        <f ca="1">SUM(AI$7:AI260)</f>
        <v>0</v>
      </c>
      <c r="BT261" s="24">
        <f t="shared" ca="1" si="166"/>
        <v>0</v>
      </c>
    </row>
    <row r="262" spans="1:72">
      <c r="A262" s="202">
        <f>Kontenplan!C264</f>
        <v>0</v>
      </c>
      <c r="B262" s="224">
        <f>Kontenplan!E264</f>
        <v>0</v>
      </c>
      <c r="C262" s="225">
        <f>Kontenplan!F264</f>
        <v>0</v>
      </c>
      <c r="D262" s="43">
        <f>IF(B262=0,0,SUMIF(Journal!$F$7:$F$83,Calc!B262,Journal!$I$7:$I$83))</f>
        <v>0</v>
      </c>
      <c r="E262" s="15">
        <f>IF(B262=0,0,SUMIF(Journal!$G$7:$M336,Calc!B262,Journal!$I$7:$I$83))</f>
        <v>0</v>
      </c>
      <c r="F262" s="44">
        <f t="shared" si="130"/>
        <v>0</v>
      </c>
      <c r="G262" s="15">
        <f t="shared" si="131"/>
        <v>0</v>
      </c>
      <c r="H262" s="14" t="str">
        <f t="shared" si="132"/>
        <v xml:space="preserve"> </v>
      </c>
      <c r="I262" s="43" t="str">
        <f t="shared" si="133"/>
        <v xml:space="preserve"> </v>
      </c>
      <c r="J262" s="45" t="str">
        <f t="shared" si="134"/>
        <v xml:space="preserve"> </v>
      </c>
      <c r="K262" s="48" t="str">
        <f t="shared" si="135"/>
        <v xml:space="preserve"> </v>
      </c>
      <c r="L262" s="45" t="str">
        <f t="shared" si="136"/>
        <v xml:space="preserve"> </v>
      </c>
      <c r="M262" s="48" t="str">
        <f t="shared" si="137"/>
        <v xml:space="preserve"> </v>
      </c>
      <c r="N262" s="24"/>
      <c r="O262" s="12">
        <f t="shared" si="138"/>
        <v>10.049199999999885</v>
      </c>
      <c r="P262" s="12">
        <f t="shared" si="139"/>
        <v>9.0473999999998895</v>
      </c>
      <c r="Q262" s="12">
        <f t="shared" si="140"/>
        <v>31.041199999999904</v>
      </c>
      <c r="R262" s="12">
        <f t="shared" si="141"/>
        <v>29.035399999999917</v>
      </c>
      <c r="S262" s="12">
        <f t="shared" si="142"/>
        <v>0</v>
      </c>
      <c r="T262" s="12">
        <f t="shared" si="143"/>
        <v>0</v>
      </c>
      <c r="U262" s="43">
        <f>IF(OR(A262=Kontenplan!$C$3,A262=Kontenplan!$C$5),F262-G262,G262-F262)</f>
        <v>0</v>
      </c>
      <c r="V262" s="171">
        <f t="shared" si="126"/>
        <v>256</v>
      </c>
      <c r="W262" s="12">
        <f t="shared" si="127"/>
        <v>229</v>
      </c>
      <c r="X262" s="12">
        <f t="shared" si="128"/>
        <v>231</v>
      </c>
      <c r="Y262" s="12">
        <f>IF(Z262=0,VLOOKUP(W262,Kontenplan!$Y$9:$AA$551,3),"")</f>
        <v>0</v>
      </c>
      <c r="Z262" s="12">
        <f t="shared" si="144"/>
        <v>0</v>
      </c>
      <c r="AA262" s="12" t="str">
        <f t="shared" ca="1" si="145"/>
        <v/>
      </c>
      <c r="AB262" s="46" t="str">
        <f t="shared" ca="1" si="146"/>
        <v/>
      </c>
      <c r="AC262" s="46" t="str">
        <f t="shared" ca="1" si="147"/>
        <v/>
      </c>
      <c r="AD262" s="47"/>
      <c r="AE262" s="12">
        <f>IF(AF262=0,VLOOKUP(X262,Kontenplan!$Z$9:$AB$551,3),"")</f>
        <v>0</v>
      </c>
      <c r="AF262" s="47">
        <f t="shared" si="148"/>
        <v>0</v>
      </c>
      <c r="AG262" s="12" t="str">
        <f t="shared" ca="1" si="149"/>
        <v/>
      </c>
      <c r="AH262" s="46" t="str">
        <f t="shared" ca="1" si="150"/>
        <v/>
      </c>
      <c r="AI262" s="46" t="str">
        <f t="shared" ca="1" si="151"/>
        <v/>
      </c>
      <c r="AJ262" s="46"/>
      <c r="AK262" s="147">
        <f t="shared" ca="1" si="152"/>
        <v>2.0246000000000519</v>
      </c>
      <c r="AL262" s="147">
        <f t="shared" si="153"/>
        <v>2.0249000000000525</v>
      </c>
      <c r="AM262" s="12" t="str">
        <f>IF(V262&lt;=AO$3,VLOOKUP(V262,Kontenplan!$A$9:$D$278,4),"")</f>
        <v/>
      </c>
      <c r="AN262" s="12">
        <f t="shared" si="154"/>
        <v>0</v>
      </c>
      <c r="AO262" s="12" t="str">
        <f t="shared" ca="1" si="155"/>
        <v/>
      </c>
      <c r="AP262" s="46" t="str">
        <f t="shared" ca="1" si="156"/>
        <v/>
      </c>
      <c r="AQ262" s="46" t="str">
        <f t="shared" ca="1" si="157"/>
        <v/>
      </c>
      <c r="AR262" s="46"/>
      <c r="AS262" s="147">
        <f t="shared" ca="1" si="158"/>
        <v>3.0245000000000517</v>
      </c>
      <c r="AT262" s="147">
        <f t="shared" si="159"/>
        <v>2.0250000000000528</v>
      </c>
      <c r="AU262" s="47" t="str">
        <f>IF(V262&lt;=AW$3,VLOOKUP(AO$3+V262,Kontenplan!$A$9:$D$278,4),"")</f>
        <v/>
      </c>
      <c r="AV262" s="12">
        <f t="shared" si="160"/>
        <v>0</v>
      </c>
      <c r="AW262" s="12" t="str">
        <f t="shared" ca="1" si="161"/>
        <v/>
      </c>
      <c r="AX262" s="46" t="str">
        <f t="shared" ca="1" si="129"/>
        <v/>
      </c>
      <c r="AY262" s="46" t="str">
        <f t="shared" ca="1" si="162"/>
        <v/>
      </c>
      <c r="AZ262" s="12"/>
      <c r="BA262" s="12">
        <f>Kontenplan!R264</f>
        <v>3</v>
      </c>
      <c r="BB262" s="12">
        <f>Kontenplan!S264</f>
        <v>2</v>
      </c>
      <c r="BC262" s="12">
        <f>Kontenplan!T264</f>
        <v>4</v>
      </c>
      <c r="BD262" s="170">
        <f>Kontenplan!U264</f>
        <v>4</v>
      </c>
      <c r="BE262" s="12"/>
      <c r="BF262" s="24">
        <f ca="1">SUM(AP$7:AP262)</f>
        <v>0</v>
      </c>
      <c r="BG262" s="46">
        <f ca="1">SUM(AQ$7:AQ261)</f>
        <v>0</v>
      </c>
      <c r="BH262" s="24">
        <f t="shared" ca="1" si="163"/>
        <v>0</v>
      </c>
      <c r="BI262" s="24"/>
      <c r="BJ262" s="24">
        <f ca="1">SUM(AX$7:AX262)</f>
        <v>0</v>
      </c>
      <c r="BK262" s="24">
        <f ca="1">SUM(AY$7:AY261)</f>
        <v>0</v>
      </c>
      <c r="BL262" s="24">
        <f t="shared" ca="1" si="164"/>
        <v>0</v>
      </c>
      <c r="BM262" s="12"/>
      <c r="BN262" s="24">
        <f ca="1">SUM(AB$7:AB262)</f>
        <v>0</v>
      </c>
      <c r="BO262" s="46">
        <f ca="1">SUM(AC$7:AC261)</f>
        <v>0</v>
      </c>
      <c r="BP262" s="24">
        <f t="shared" ca="1" si="165"/>
        <v>0</v>
      </c>
      <c r="BQ262" s="12"/>
      <c r="BR262" s="24">
        <f ca="1">SUM(AH$7:AH262)</f>
        <v>0</v>
      </c>
      <c r="BS262" s="46">
        <f ca="1">SUM(AI$7:AI261)</f>
        <v>0</v>
      </c>
      <c r="BT262" s="24">
        <f t="shared" ca="1" si="166"/>
        <v>0</v>
      </c>
    </row>
    <row r="263" spans="1:72">
      <c r="A263" s="202">
        <f>Kontenplan!C265</f>
        <v>0</v>
      </c>
      <c r="B263" s="224">
        <f>Kontenplan!E265</f>
        <v>0</v>
      </c>
      <c r="C263" s="225">
        <f>Kontenplan!F265</f>
        <v>0</v>
      </c>
      <c r="D263" s="43">
        <f>IF(B263=0,0,SUMIF(Journal!$F$7:$F$83,Calc!B263,Journal!$I$7:$I$83))</f>
        <v>0</v>
      </c>
      <c r="E263" s="15">
        <f>IF(B263=0,0,SUMIF(Journal!$G$7:$M337,Calc!B263,Journal!$I$7:$I$83))</f>
        <v>0</v>
      </c>
      <c r="F263" s="44">
        <f t="shared" si="130"/>
        <v>0</v>
      </c>
      <c r="G263" s="15">
        <f t="shared" si="131"/>
        <v>0</v>
      </c>
      <c r="H263" s="14" t="str">
        <f t="shared" si="132"/>
        <v xml:space="preserve"> </v>
      </c>
      <c r="I263" s="43" t="str">
        <f t="shared" si="133"/>
        <v xml:space="preserve"> </v>
      </c>
      <c r="J263" s="45" t="str">
        <f t="shared" si="134"/>
        <v xml:space="preserve"> </v>
      </c>
      <c r="K263" s="48" t="str">
        <f t="shared" si="135"/>
        <v xml:space="preserve"> </v>
      </c>
      <c r="L263" s="45" t="str">
        <f t="shared" si="136"/>
        <v xml:space="preserve"> </v>
      </c>
      <c r="M263" s="48" t="str">
        <f t="shared" si="137"/>
        <v xml:space="preserve"> </v>
      </c>
      <c r="N263" s="24"/>
      <c r="O263" s="12">
        <f t="shared" si="138"/>
        <v>10.049399999999885</v>
      </c>
      <c r="P263" s="12">
        <f t="shared" si="139"/>
        <v>9.0475999999998891</v>
      </c>
      <c r="Q263" s="12">
        <f t="shared" si="140"/>
        <v>31.041399999999904</v>
      </c>
      <c r="R263" s="12">
        <f t="shared" si="141"/>
        <v>29.035599999999917</v>
      </c>
      <c r="S263" s="12">
        <f t="shared" si="142"/>
        <v>0</v>
      </c>
      <c r="T263" s="12">
        <f t="shared" si="143"/>
        <v>0</v>
      </c>
      <c r="U263" s="43">
        <f>IF(OR(A263=Kontenplan!$C$3,A263=Kontenplan!$C$5),F263-G263,G263-F263)</f>
        <v>0</v>
      </c>
      <c r="V263" s="171">
        <f t="shared" ref="V263:V274" si="167">V262+1</f>
        <v>257</v>
      </c>
      <c r="W263" s="12">
        <f t="shared" si="127"/>
        <v>230</v>
      </c>
      <c r="X263" s="12">
        <f t="shared" si="128"/>
        <v>232</v>
      </c>
      <c r="Y263" s="12">
        <f>IF(Z263=0,VLOOKUP(W263,Kontenplan!$Y$9:$AA$551,3),"")</f>
        <v>0</v>
      </c>
      <c r="Z263" s="12">
        <f t="shared" si="144"/>
        <v>0</v>
      </c>
      <c r="AA263" s="12" t="str">
        <f t="shared" ca="1" si="145"/>
        <v/>
      </c>
      <c r="AB263" s="46" t="str">
        <f t="shared" ca="1" si="146"/>
        <v/>
      </c>
      <c r="AC263" s="46" t="str">
        <f t="shared" ca="1" si="147"/>
        <v/>
      </c>
      <c r="AD263" s="47"/>
      <c r="AE263" s="12">
        <f>IF(AF263=0,VLOOKUP(X263,Kontenplan!$Z$9:$AB$551,3),"")</f>
        <v>0</v>
      </c>
      <c r="AF263" s="47">
        <f t="shared" si="148"/>
        <v>0</v>
      </c>
      <c r="AG263" s="12" t="str">
        <f t="shared" ca="1" si="149"/>
        <v/>
      </c>
      <c r="AH263" s="46" t="str">
        <f t="shared" ca="1" si="150"/>
        <v/>
      </c>
      <c r="AI263" s="46" t="str">
        <f t="shared" ca="1" si="151"/>
        <v/>
      </c>
      <c r="AJ263" s="46"/>
      <c r="AK263" s="147">
        <f t="shared" ca="1" si="152"/>
        <v>2.0247000000000521</v>
      </c>
      <c r="AL263" s="147">
        <f t="shared" si="153"/>
        <v>2.0250000000000528</v>
      </c>
      <c r="AM263" s="12" t="str">
        <f>IF(V263&lt;=AO$3,VLOOKUP(V263,Kontenplan!$A$9:$D$278,4),"")</f>
        <v/>
      </c>
      <c r="AN263" s="12">
        <f t="shared" si="154"/>
        <v>0</v>
      </c>
      <c r="AO263" s="12" t="str">
        <f t="shared" ca="1" si="155"/>
        <v/>
      </c>
      <c r="AP263" s="46" t="str">
        <f t="shared" ca="1" si="156"/>
        <v/>
      </c>
      <c r="AQ263" s="46" t="str">
        <f t="shared" ca="1" si="157"/>
        <v/>
      </c>
      <c r="AR263" s="46"/>
      <c r="AS263" s="147">
        <f t="shared" ca="1" si="158"/>
        <v>3.0246000000000519</v>
      </c>
      <c r="AT263" s="147">
        <f t="shared" si="159"/>
        <v>2.025100000000053</v>
      </c>
      <c r="AU263" s="47" t="str">
        <f>IF(V263&lt;=AW$3,VLOOKUP(AO$3+V263,Kontenplan!$A$9:$D$278,4),"")</f>
        <v/>
      </c>
      <c r="AV263" s="12">
        <f t="shared" si="160"/>
        <v>0</v>
      </c>
      <c r="AW263" s="12" t="str">
        <f t="shared" ca="1" si="161"/>
        <v/>
      </c>
      <c r="AX263" s="46" t="str">
        <f t="shared" ca="1" si="129"/>
        <v/>
      </c>
      <c r="AY263" s="46" t="str">
        <f t="shared" ca="1" si="162"/>
        <v/>
      </c>
      <c r="AZ263" s="12"/>
      <c r="BA263" s="12">
        <f>Kontenplan!R265</f>
        <v>3</v>
      </c>
      <c r="BB263" s="12">
        <f>Kontenplan!S265</f>
        <v>2</v>
      </c>
      <c r="BC263" s="12">
        <f>Kontenplan!T265</f>
        <v>4</v>
      </c>
      <c r="BD263" s="170">
        <f>Kontenplan!U265</f>
        <v>4</v>
      </c>
      <c r="BE263" s="12"/>
      <c r="BF263" s="24">
        <f ca="1">SUM(AP$7:AP263)</f>
        <v>0</v>
      </c>
      <c r="BG263" s="46">
        <f ca="1">SUM(AQ$7:AQ262)</f>
        <v>0</v>
      </c>
      <c r="BH263" s="24">
        <f t="shared" ca="1" si="163"/>
        <v>0</v>
      </c>
      <c r="BI263" s="24"/>
      <c r="BJ263" s="24">
        <f ca="1">SUM(AX$7:AX263)</f>
        <v>0</v>
      </c>
      <c r="BK263" s="24">
        <f ca="1">SUM(AY$7:AY262)</f>
        <v>0</v>
      </c>
      <c r="BL263" s="24">
        <f t="shared" ca="1" si="164"/>
        <v>0</v>
      </c>
      <c r="BM263" s="12"/>
      <c r="BN263" s="24">
        <f ca="1">SUM(AB$7:AB263)</f>
        <v>0</v>
      </c>
      <c r="BO263" s="46">
        <f ca="1">SUM(AC$7:AC262)</f>
        <v>0</v>
      </c>
      <c r="BP263" s="24">
        <f t="shared" ca="1" si="165"/>
        <v>0</v>
      </c>
      <c r="BQ263" s="12"/>
      <c r="BR263" s="24">
        <f ca="1">SUM(AH$7:AH263)</f>
        <v>0</v>
      </c>
      <c r="BS263" s="46">
        <f ca="1">SUM(AI$7:AI262)</f>
        <v>0</v>
      </c>
      <c r="BT263" s="24">
        <f t="shared" ca="1" si="166"/>
        <v>0</v>
      </c>
    </row>
    <row r="264" spans="1:72">
      <c r="A264" s="202">
        <f>Kontenplan!C266</f>
        <v>0</v>
      </c>
      <c r="B264" s="224">
        <f>Kontenplan!E266</f>
        <v>0</v>
      </c>
      <c r="C264" s="225">
        <f>Kontenplan!F266</f>
        <v>0</v>
      </c>
      <c r="D264" s="43">
        <f>IF(B264=0,0,SUMIF(Journal!$F$7:$F$83,Calc!B264,Journal!$I$7:$I$83))</f>
        <v>0</v>
      </c>
      <c r="E264" s="15">
        <f>IF(B264=0,0,SUMIF(Journal!$G$7:$M338,Calc!B264,Journal!$I$7:$I$83))</f>
        <v>0</v>
      </c>
      <c r="F264" s="44">
        <f t="shared" si="130"/>
        <v>0</v>
      </c>
      <c r="G264" s="15">
        <f t="shared" si="131"/>
        <v>0</v>
      </c>
      <c r="H264" s="14" t="str">
        <f t="shared" si="132"/>
        <v xml:space="preserve"> </v>
      </c>
      <c r="I264" s="43" t="str">
        <f t="shared" si="133"/>
        <v xml:space="preserve"> </v>
      </c>
      <c r="J264" s="45" t="str">
        <f t="shared" si="134"/>
        <v xml:space="preserve"> </v>
      </c>
      <c r="K264" s="48" t="str">
        <f t="shared" si="135"/>
        <v xml:space="preserve"> </v>
      </c>
      <c r="L264" s="45" t="str">
        <f t="shared" si="136"/>
        <v xml:space="preserve"> </v>
      </c>
      <c r="M264" s="48" t="str">
        <f t="shared" si="137"/>
        <v xml:space="preserve"> </v>
      </c>
      <c r="N264" s="24"/>
      <c r="O264" s="12">
        <f t="shared" si="138"/>
        <v>10.049599999999884</v>
      </c>
      <c r="P264" s="12">
        <f t="shared" si="139"/>
        <v>9.0477999999998886</v>
      </c>
      <c r="Q264" s="12">
        <f t="shared" si="140"/>
        <v>31.041599999999903</v>
      </c>
      <c r="R264" s="12">
        <f t="shared" si="141"/>
        <v>29.035799999999917</v>
      </c>
      <c r="S264" s="12">
        <f t="shared" si="142"/>
        <v>0</v>
      </c>
      <c r="T264" s="12">
        <f t="shared" si="143"/>
        <v>0</v>
      </c>
      <c r="U264" s="43">
        <f>IF(OR(A264=Kontenplan!$C$3,A264=Kontenplan!$C$5),F264-G264,G264-F264)</f>
        <v>0</v>
      </c>
      <c r="V264" s="171">
        <f t="shared" si="167"/>
        <v>258</v>
      </c>
      <c r="W264" s="12">
        <f t="shared" ref="W264:W275" si="168">IF(Z264=0,ROUND(W263+1,0),W263+0.00001)</f>
        <v>231</v>
      </c>
      <c r="X264" s="12">
        <f t="shared" ref="X264:X275" si="169">IF(AF264=0,ROUND(X263+1,0),X263+0.00001)</f>
        <v>233</v>
      </c>
      <c r="Y264" s="12">
        <f>IF(Z264=0,VLOOKUP(W264,Kontenplan!$Y$9:$AA$551,3),"")</f>
        <v>0</v>
      </c>
      <c r="Z264" s="12">
        <f t="shared" si="144"/>
        <v>0</v>
      </c>
      <c r="AA264" s="12" t="str">
        <f t="shared" ca="1" si="145"/>
        <v/>
      </c>
      <c r="AB264" s="46" t="str">
        <f t="shared" ca="1" si="146"/>
        <v/>
      </c>
      <c r="AC264" s="46" t="str">
        <f t="shared" ca="1" si="147"/>
        <v/>
      </c>
      <c r="AD264" s="47"/>
      <c r="AE264" s="12">
        <f>IF(AF264=0,VLOOKUP(X264,Kontenplan!$Z$9:$AB$551,3),"")</f>
        <v>0</v>
      </c>
      <c r="AF264" s="47">
        <f t="shared" si="148"/>
        <v>0</v>
      </c>
      <c r="AG264" s="12" t="str">
        <f t="shared" ca="1" si="149"/>
        <v/>
      </c>
      <c r="AH264" s="46" t="str">
        <f t="shared" ca="1" si="150"/>
        <v/>
      </c>
      <c r="AI264" s="46" t="str">
        <f t="shared" ca="1" si="151"/>
        <v/>
      </c>
      <c r="AJ264" s="46"/>
      <c r="AK264" s="147">
        <f t="shared" ca="1" si="152"/>
        <v>2.0248000000000523</v>
      </c>
      <c r="AL264" s="147">
        <f t="shared" si="153"/>
        <v>2.025100000000053</v>
      </c>
      <c r="AM264" s="12" t="str">
        <f>IF(V264&lt;=AO$3,VLOOKUP(V264,Kontenplan!$A$9:$D$278,4),"")</f>
        <v/>
      </c>
      <c r="AN264" s="12">
        <f t="shared" si="154"/>
        <v>0</v>
      </c>
      <c r="AO264" s="12" t="str">
        <f t="shared" ca="1" si="155"/>
        <v/>
      </c>
      <c r="AP264" s="46" t="str">
        <f t="shared" ca="1" si="156"/>
        <v/>
      </c>
      <c r="AQ264" s="46" t="str">
        <f t="shared" ca="1" si="157"/>
        <v/>
      </c>
      <c r="AR264" s="46"/>
      <c r="AS264" s="147">
        <f t="shared" ca="1" si="158"/>
        <v>3.0247000000000521</v>
      </c>
      <c r="AT264" s="147">
        <f t="shared" si="159"/>
        <v>2.0252000000000532</v>
      </c>
      <c r="AU264" s="47" t="str">
        <f>IF(V264&lt;=AW$3,VLOOKUP(AO$3+V264,Kontenplan!$A$9:$D$278,4),"")</f>
        <v/>
      </c>
      <c r="AV264" s="12">
        <f t="shared" si="160"/>
        <v>0</v>
      </c>
      <c r="AW264" s="12" t="str">
        <f t="shared" ca="1" si="161"/>
        <v/>
      </c>
      <c r="AX264" s="46" t="str">
        <f t="shared" ca="1" si="129"/>
        <v/>
      </c>
      <c r="AY264" s="46" t="str">
        <f t="shared" ca="1" si="162"/>
        <v/>
      </c>
      <c r="AZ264" s="12"/>
      <c r="BA264" s="12">
        <f>Kontenplan!R266</f>
        <v>3</v>
      </c>
      <c r="BB264" s="12">
        <f>Kontenplan!S266</f>
        <v>2</v>
      </c>
      <c r="BC264" s="12">
        <f>Kontenplan!T266</f>
        <v>4</v>
      </c>
      <c r="BD264" s="170">
        <f>Kontenplan!U266</f>
        <v>4</v>
      </c>
      <c r="BE264" s="12"/>
      <c r="BF264" s="24">
        <f ca="1">SUM(AP$7:AP264)</f>
        <v>0</v>
      </c>
      <c r="BG264" s="46">
        <f ca="1">SUM(AQ$7:AQ263)</f>
        <v>0</v>
      </c>
      <c r="BH264" s="24">
        <f t="shared" ca="1" si="163"/>
        <v>0</v>
      </c>
      <c r="BI264" s="24"/>
      <c r="BJ264" s="24">
        <f ca="1">SUM(AX$7:AX264)</f>
        <v>0</v>
      </c>
      <c r="BK264" s="24">
        <f ca="1">SUM(AY$7:AY263)</f>
        <v>0</v>
      </c>
      <c r="BL264" s="24">
        <f t="shared" ca="1" si="164"/>
        <v>0</v>
      </c>
      <c r="BM264" s="12"/>
      <c r="BN264" s="24">
        <f ca="1">SUM(AB$7:AB264)</f>
        <v>0</v>
      </c>
      <c r="BO264" s="46">
        <f ca="1">SUM(AC$7:AC263)</f>
        <v>0</v>
      </c>
      <c r="BP264" s="24">
        <f t="shared" ca="1" si="165"/>
        <v>0</v>
      </c>
      <c r="BQ264" s="12"/>
      <c r="BR264" s="24">
        <f ca="1">SUM(AH$7:AH264)</f>
        <v>0</v>
      </c>
      <c r="BS264" s="46">
        <f ca="1">SUM(AI$7:AI263)</f>
        <v>0</v>
      </c>
      <c r="BT264" s="24">
        <f t="shared" ca="1" si="166"/>
        <v>0</v>
      </c>
    </row>
    <row r="265" spans="1:72">
      <c r="A265" s="202">
        <f>Kontenplan!C267</f>
        <v>0</v>
      </c>
      <c r="B265" s="224">
        <f>Kontenplan!E267</f>
        <v>0</v>
      </c>
      <c r="C265" s="225">
        <f>Kontenplan!F267</f>
        <v>0</v>
      </c>
      <c r="D265" s="43">
        <f>IF(B265=0,0,SUMIF(Journal!$F$7:$F$83,Calc!B265,Journal!$I$7:$I$83))</f>
        <v>0</v>
      </c>
      <c r="E265" s="15">
        <f>IF(B265=0,0,SUMIF(Journal!$G$7:$M339,Calc!B265,Journal!$I$7:$I$83))</f>
        <v>0</v>
      </c>
      <c r="F265" s="44">
        <f t="shared" si="130"/>
        <v>0</v>
      </c>
      <c r="G265" s="15">
        <f t="shared" si="131"/>
        <v>0</v>
      </c>
      <c r="H265" s="14" t="str">
        <f t="shared" si="132"/>
        <v xml:space="preserve"> </v>
      </c>
      <c r="I265" s="43" t="str">
        <f t="shared" si="133"/>
        <v xml:space="preserve"> </v>
      </c>
      <c r="J265" s="45" t="str">
        <f t="shared" si="134"/>
        <v xml:space="preserve"> </v>
      </c>
      <c r="K265" s="48" t="str">
        <f t="shared" si="135"/>
        <v xml:space="preserve"> </v>
      </c>
      <c r="L265" s="45" t="str">
        <f t="shared" si="136"/>
        <v xml:space="preserve"> </v>
      </c>
      <c r="M265" s="48" t="str">
        <f t="shared" si="137"/>
        <v xml:space="preserve"> </v>
      </c>
      <c r="N265" s="24"/>
      <c r="O265" s="12">
        <f t="shared" si="138"/>
        <v>10.049799999999884</v>
      </c>
      <c r="P265" s="12">
        <f t="shared" si="139"/>
        <v>9.0479999999998881</v>
      </c>
      <c r="Q265" s="12">
        <f t="shared" si="140"/>
        <v>31.041799999999903</v>
      </c>
      <c r="R265" s="12">
        <f t="shared" si="141"/>
        <v>29.035999999999916</v>
      </c>
      <c r="S265" s="12">
        <f t="shared" si="142"/>
        <v>0</v>
      </c>
      <c r="T265" s="12">
        <f t="shared" si="143"/>
        <v>0</v>
      </c>
      <c r="U265" s="43">
        <f>IF(OR(A265=Kontenplan!$C$3,A265=Kontenplan!$C$5),F265-G265,G265-F265)</f>
        <v>0</v>
      </c>
      <c r="V265" s="171">
        <f t="shared" si="167"/>
        <v>259</v>
      </c>
      <c r="W265" s="12">
        <f t="shared" si="168"/>
        <v>232</v>
      </c>
      <c r="X265" s="12">
        <f t="shared" si="169"/>
        <v>234</v>
      </c>
      <c r="Y265" s="12">
        <f>IF(Z265=0,VLOOKUP(W265,Kontenplan!$Y$9:$AA$551,3),"")</f>
        <v>0</v>
      </c>
      <c r="Z265" s="12">
        <f t="shared" si="144"/>
        <v>0</v>
      </c>
      <c r="AA265" s="12" t="str">
        <f t="shared" ca="1" si="145"/>
        <v/>
      </c>
      <c r="AB265" s="46" t="str">
        <f t="shared" ca="1" si="146"/>
        <v/>
      </c>
      <c r="AC265" s="46" t="str">
        <f t="shared" ca="1" si="147"/>
        <v/>
      </c>
      <c r="AD265" s="47"/>
      <c r="AE265" s="12">
        <f>IF(AF265=0,VLOOKUP(X265,Kontenplan!$Z$9:$AB$551,3),"")</f>
        <v>0</v>
      </c>
      <c r="AF265" s="47">
        <f t="shared" si="148"/>
        <v>0</v>
      </c>
      <c r="AG265" s="12" t="str">
        <f t="shared" ca="1" si="149"/>
        <v/>
      </c>
      <c r="AH265" s="46" t="str">
        <f t="shared" ca="1" si="150"/>
        <v/>
      </c>
      <c r="AI265" s="46" t="str">
        <f t="shared" ca="1" si="151"/>
        <v/>
      </c>
      <c r="AJ265" s="46"/>
      <c r="AK265" s="147">
        <f t="shared" ca="1" si="152"/>
        <v>2.0249000000000525</v>
      </c>
      <c r="AL265" s="147">
        <f t="shared" si="153"/>
        <v>2.0252000000000532</v>
      </c>
      <c r="AM265" s="12" t="str">
        <f>IF(V265&lt;=AO$3,VLOOKUP(V265,Kontenplan!$A$9:$D$278,4),"")</f>
        <v/>
      </c>
      <c r="AN265" s="12">
        <f t="shared" si="154"/>
        <v>0</v>
      </c>
      <c r="AO265" s="12" t="str">
        <f t="shared" ca="1" si="155"/>
        <v/>
      </c>
      <c r="AP265" s="46" t="str">
        <f t="shared" ca="1" si="156"/>
        <v/>
      </c>
      <c r="AQ265" s="46" t="str">
        <f t="shared" ca="1" si="157"/>
        <v/>
      </c>
      <c r="AR265" s="46"/>
      <c r="AS265" s="147">
        <f t="shared" ca="1" si="158"/>
        <v>3.0248000000000523</v>
      </c>
      <c r="AT265" s="147">
        <f t="shared" si="159"/>
        <v>2.0253000000000534</v>
      </c>
      <c r="AU265" s="47" t="str">
        <f>IF(V265&lt;=AW$3,VLOOKUP(AO$3+V265,Kontenplan!$A$9:$D$278,4),"")</f>
        <v/>
      </c>
      <c r="AV265" s="12">
        <f t="shared" si="160"/>
        <v>0</v>
      </c>
      <c r="AW265" s="12" t="str">
        <f t="shared" ca="1" si="161"/>
        <v/>
      </c>
      <c r="AX265" s="46" t="str">
        <f t="shared" ref="AX265:AX275" ca="1" si="170">IF($H$284=0,0,IF(AW265="Gewinn",I$280,IF(AW265="Total","c",IF(AO$4+2&lt;V265,"",VLOOKUP(V265,$P$7:$U$276,6)))))</f>
        <v/>
      </c>
      <c r="AY265" s="46" t="str">
        <f t="shared" ca="1" si="162"/>
        <v/>
      </c>
      <c r="AZ265" s="12"/>
      <c r="BA265" s="12">
        <f>Kontenplan!R267</f>
        <v>3</v>
      </c>
      <c r="BB265" s="12">
        <f>Kontenplan!S267</f>
        <v>2</v>
      </c>
      <c r="BC265" s="12">
        <f>Kontenplan!T267</f>
        <v>4</v>
      </c>
      <c r="BD265" s="170">
        <f>Kontenplan!U267</f>
        <v>4</v>
      </c>
      <c r="BE265" s="12"/>
      <c r="BF265" s="24">
        <f ca="1">SUM(AP$7:AP265)</f>
        <v>0</v>
      </c>
      <c r="BG265" s="46">
        <f ca="1">SUM(AQ$7:AQ264)</f>
        <v>0</v>
      </c>
      <c r="BH265" s="24">
        <f t="shared" ca="1" si="163"/>
        <v>0</v>
      </c>
      <c r="BI265" s="24"/>
      <c r="BJ265" s="24">
        <f ca="1">SUM(AX$7:AX265)</f>
        <v>0</v>
      </c>
      <c r="BK265" s="24">
        <f ca="1">SUM(AY$7:AY264)</f>
        <v>0</v>
      </c>
      <c r="BL265" s="24">
        <f t="shared" ca="1" si="164"/>
        <v>0</v>
      </c>
      <c r="BM265" s="12"/>
      <c r="BN265" s="24">
        <f ca="1">SUM(AB$7:AB265)</f>
        <v>0</v>
      </c>
      <c r="BO265" s="46">
        <f ca="1">SUM(AC$7:AC264)</f>
        <v>0</v>
      </c>
      <c r="BP265" s="24">
        <f t="shared" ca="1" si="165"/>
        <v>0</v>
      </c>
      <c r="BQ265" s="12"/>
      <c r="BR265" s="24">
        <f ca="1">SUM(AH$7:AH265)</f>
        <v>0</v>
      </c>
      <c r="BS265" s="46">
        <f ca="1">SUM(AI$7:AI264)</f>
        <v>0</v>
      </c>
      <c r="BT265" s="24">
        <f t="shared" ca="1" si="166"/>
        <v>0</v>
      </c>
    </row>
    <row r="266" spans="1:72">
      <c r="A266" s="202">
        <f>Kontenplan!C268</f>
        <v>0</v>
      </c>
      <c r="B266" s="224">
        <f>Kontenplan!E268</f>
        <v>0</v>
      </c>
      <c r="C266" s="225">
        <f>Kontenplan!F268</f>
        <v>0</v>
      </c>
      <c r="D266" s="43">
        <f>IF(B266=0,0,SUMIF(Journal!$F$7:$F$83,Calc!B266,Journal!$I$7:$I$83))</f>
        <v>0</v>
      </c>
      <c r="E266" s="15">
        <f>IF(B266=0,0,SUMIF(Journal!$G$7:$M340,Calc!B266,Journal!$I$7:$I$83))</f>
        <v>0</v>
      </c>
      <c r="F266" s="44">
        <f t="shared" si="130"/>
        <v>0</v>
      </c>
      <c r="G266" s="15">
        <f t="shared" si="131"/>
        <v>0</v>
      </c>
      <c r="H266" s="14" t="str">
        <f t="shared" si="132"/>
        <v xml:space="preserve"> </v>
      </c>
      <c r="I266" s="43" t="str">
        <f t="shared" si="133"/>
        <v xml:space="preserve"> </v>
      </c>
      <c r="J266" s="45" t="str">
        <f t="shared" si="134"/>
        <v xml:space="preserve"> </v>
      </c>
      <c r="K266" s="48" t="str">
        <f t="shared" si="135"/>
        <v xml:space="preserve"> </v>
      </c>
      <c r="L266" s="45" t="str">
        <f t="shared" si="136"/>
        <v xml:space="preserve"> </v>
      </c>
      <c r="M266" s="48" t="str">
        <f t="shared" si="137"/>
        <v xml:space="preserve"> </v>
      </c>
      <c r="N266" s="24"/>
      <c r="O266" s="12">
        <f t="shared" si="138"/>
        <v>10.049999999999883</v>
      </c>
      <c r="P266" s="12">
        <f t="shared" si="139"/>
        <v>9.0481999999998877</v>
      </c>
      <c r="Q266" s="12">
        <f t="shared" si="140"/>
        <v>31.041999999999902</v>
      </c>
      <c r="R266" s="12">
        <f t="shared" si="141"/>
        <v>29.036199999999916</v>
      </c>
      <c r="S266" s="12">
        <f t="shared" si="142"/>
        <v>0</v>
      </c>
      <c r="T266" s="12">
        <f t="shared" si="143"/>
        <v>0</v>
      </c>
      <c r="U266" s="43">
        <f>IF(OR(A266=Kontenplan!$C$3,A266=Kontenplan!$C$5),F266-G266,G266-F266)</f>
        <v>0</v>
      </c>
      <c r="V266" s="171">
        <f t="shared" si="167"/>
        <v>260</v>
      </c>
      <c r="W266" s="12">
        <f t="shared" si="168"/>
        <v>233</v>
      </c>
      <c r="X266" s="12">
        <f t="shared" si="169"/>
        <v>235</v>
      </c>
      <c r="Y266" s="12">
        <f>IF(Z266=0,VLOOKUP(W266,Kontenplan!$Y$9:$AA$551,3),"")</f>
        <v>0</v>
      </c>
      <c r="Z266" s="12">
        <f t="shared" si="144"/>
        <v>0</v>
      </c>
      <c r="AA266" s="12" t="str">
        <f t="shared" ca="1" si="145"/>
        <v/>
      </c>
      <c r="AB266" s="46" t="str">
        <f t="shared" ca="1" si="146"/>
        <v/>
      </c>
      <c r="AC266" s="46" t="str">
        <f t="shared" ca="1" si="147"/>
        <v/>
      </c>
      <c r="AD266" s="47"/>
      <c r="AE266" s="12">
        <f>IF(AF266=0,VLOOKUP(X266,Kontenplan!$Z$9:$AB$551,3),"")</f>
        <v>0</v>
      </c>
      <c r="AF266" s="47">
        <f t="shared" si="148"/>
        <v>0</v>
      </c>
      <c r="AG266" s="12" t="str">
        <f t="shared" ca="1" si="149"/>
        <v/>
      </c>
      <c r="AH266" s="46" t="str">
        <f t="shared" ca="1" si="150"/>
        <v/>
      </c>
      <c r="AI266" s="46" t="str">
        <f t="shared" ca="1" si="151"/>
        <v/>
      </c>
      <c r="AJ266" s="46"/>
      <c r="AK266" s="147">
        <f t="shared" ca="1" si="152"/>
        <v>2.0250000000000528</v>
      </c>
      <c r="AL266" s="147">
        <f t="shared" si="153"/>
        <v>2.0253000000000534</v>
      </c>
      <c r="AM266" s="12" t="str">
        <f>IF(V266&lt;=AO$3,VLOOKUP(V266,Kontenplan!$A$9:$D$278,4),"")</f>
        <v/>
      </c>
      <c r="AN266" s="12">
        <f t="shared" si="154"/>
        <v>0</v>
      </c>
      <c r="AO266" s="12" t="str">
        <f t="shared" ca="1" si="155"/>
        <v/>
      </c>
      <c r="AP266" s="46" t="str">
        <f t="shared" ca="1" si="156"/>
        <v/>
      </c>
      <c r="AQ266" s="46" t="str">
        <f t="shared" ca="1" si="157"/>
        <v/>
      </c>
      <c r="AR266" s="46"/>
      <c r="AS266" s="147">
        <f t="shared" ca="1" si="158"/>
        <v>3.0249000000000525</v>
      </c>
      <c r="AT266" s="147">
        <f t="shared" si="159"/>
        <v>2.0254000000000536</v>
      </c>
      <c r="AU266" s="47" t="str">
        <f>IF(V266&lt;=AW$3,VLOOKUP(AO$3+V266,Kontenplan!$A$9:$D$278,4),"")</f>
        <v/>
      </c>
      <c r="AV266" s="12">
        <f t="shared" si="160"/>
        <v>0</v>
      </c>
      <c r="AW266" s="12" t="str">
        <f t="shared" ca="1" si="161"/>
        <v/>
      </c>
      <c r="AX266" s="46" t="str">
        <f t="shared" ca="1" si="170"/>
        <v/>
      </c>
      <c r="AY266" s="46" t="str">
        <f t="shared" ca="1" si="162"/>
        <v/>
      </c>
      <c r="AZ266" s="12"/>
      <c r="BA266" s="12">
        <f>Kontenplan!R268</f>
        <v>3</v>
      </c>
      <c r="BB266" s="12">
        <f>Kontenplan!S268</f>
        <v>2</v>
      </c>
      <c r="BC266" s="12">
        <f>Kontenplan!T268</f>
        <v>4</v>
      </c>
      <c r="BD266" s="170">
        <f>Kontenplan!U268</f>
        <v>4</v>
      </c>
      <c r="BE266" s="12"/>
      <c r="BF266" s="24">
        <f ca="1">SUM(AP$7:AP266)</f>
        <v>0</v>
      </c>
      <c r="BG266" s="46">
        <f ca="1">SUM(AQ$7:AQ265)</f>
        <v>0</v>
      </c>
      <c r="BH266" s="24">
        <f t="shared" ca="1" si="163"/>
        <v>0</v>
      </c>
      <c r="BI266" s="24"/>
      <c r="BJ266" s="24">
        <f ca="1">SUM(AX$7:AX266)</f>
        <v>0</v>
      </c>
      <c r="BK266" s="24">
        <f ca="1">SUM(AY$7:AY265)</f>
        <v>0</v>
      </c>
      <c r="BL266" s="24">
        <f t="shared" ca="1" si="164"/>
        <v>0</v>
      </c>
      <c r="BM266" s="12"/>
      <c r="BN266" s="24">
        <f ca="1">SUM(AB$7:AB266)</f>
        <v>0</v>
      </c>
      <c r="BO266" s="46">
        <f ca="1">SUM(AC$7:AC265)</f>
        <v>0</v>
      </c>
      <c r="BP266" s="24">
        <f t="shared" ca="1" si="165"/>
        <v>0</v>
      </c>
      <c r="BQ266" s="12"/>
      <c r="BR266" s="24">
        <f ca="1">SUM(AH$7:AH266)</f>
        <v>0</v>
      </c>
      <c r="BS266" s="46">
        <f ca="1">SUM(AI$7:AI265)</f>
        <v>0</v>
      </c>
      <c r="BT266" s="24">
        <f t="shared" ca="1" si="166"/>
        <v>0</v>
      </c>
    </row>
    <row r="267" spans="1:72">
      <c r="A267" s="202">
        <f>Kontenplan!C269</f>
        <v>0</v>
      </c>
      <c r="B267" s="224">
        <f>Kontenplan!E269</f>
        <v>0</v>
      </c>
      <c r="C267" s="225">
        <f>Kontenplan!F269</f>
        <v>0</v>
      </c>
      <c r="D267" s="43">
        <f>IF(B267=0,0,SUMIF(Journal!$F$7:$F$83,Calc!B267,Journal!$I$7:$I$83))</f>
        <v>0</v>
      </c>
      <c r="E267" s="15">
        <f>IF(B267=0,0,SUMIF(Journal!$G$7:$M341,Calc!B267,Journal!$I$7:$I$83))</f>
        <v>0</v>
      </c>
      <c r="F267" s="44">
        <f t="shared" ref="F267:F274" si="171">IF(D267-E267&gt;0,D267-E267,0)</f>
        <v>0</v>
      </c>
      <c r="G267" s="15">
        <f t="shared" ref="G267:G274" si="172">IF(E267&gt;D267,E267-D267,0)</f>
        <v>0</v>
      </c>
      <c r="H267" s="14" t="str">
        <f t="shared" ref="H267:H274" si="173">IF(AND(OR(A267="Aktivkonto",A267="Passivkonto"),F267&gt;0),F267," ")</f>
        <v xml:space="preserve"> </v>
      </c>
      <c r="I267" s="43" t="str">
        <f t="shared" ref="I267:I274" si="174">IF(AND(OR(A267="Aktivkonto",A267="Passivkonto"),G267&gt;0),G267," ")</f>
        <v xml:space="preserve"> </v>
      </c>
      <c r="J267" s="45" t="str">
        <f t="shared" ref="J267:J274" si="175">IF(AND(OR(A267="Aufwandskonto",A267="Ertragskonto",A267="Ertragsminderung",A267="a.o.Erfolgskonto"),F267&gt;0),F267," ")</f>
        <v xml:space="preserve"> </v>
      </c>
      <c r="K267" s="48" t="str">
        <f t="shared" ref="K267:K274" si="176">IF(AND(OR(A267="Aufwandskonto",A267="Ertragskonto",A267="Ertragsminderung",A267="a.o.Erfolgskonto"),G267&gt;0),G267," ")</f>
        <v xml:space="preserve"> </v>
      </c>
      <c r="L267" s="45" t="str">
        <f t="shared" ref="L267:L274" si="177">H267</f>
        <v xml:space="preserve"> </v>
      </c>
      <c r="M267" s="48" t="str">
        <f t="shared" ref="M267:M274" si="178">I267</f>
        <v xml:space="preserve"> </v>
      </c>
      <c r="N267" s="24"/>
      <c r="O267" s="12">
        <f t="shared" ref="O267:O274" si="179">IF(OR(BA267-BA266=1,$A267=O$5),ROUND(O266+1,0),O266+0.0002)</f>
        <v>10.050199999999883</v>
      </c>
      <c r="P267" s="12">
        <f t="shared" ref="P267:P274" si="180">IF(OR(BB267-BB266=1,$A267=P$5),ROUND(P266+1,0),P266+0.0002)</f>
        <v>9.0483999999998872</v>
      </c>
      <c r="Q267" s="12">
        <f t="shared" ref="Q267:Q274" si="181">IF(OR($A267=Q$5,BC267-BC266=1),ROUND(Q266+1,0),Q266+0.0002)</f>
        <v>31.042199999999902</v>
      </c>
      <c r="R267" s="12">
        <f t="shared" ref="R267:R274" si="182">IF(OR(BD267-BD266=1,$A267=R$5),ROUND(R266+1,0),R266+0.0002)</f>
        <v>29.036399999999915</v>
      </c>
      <c r="S267" s="12">
        <f t="shared" ref="S267:S274" si="183">B267</f>
        <v>0</v>
      </c>
      <c r="T267" s="12">
        <f t="shared" ref="T267:T274" si="184">C267</f>
        <v>0</v>
      </c>
      <c r="U267" s="43">
        <f>IF(OR(A267=Kontenplan!$C$3,A267=Kontenplan!$C$5),F267-G267,G267-F267)</f>
        <v>0</v>
      </c>
      <c r="V267" s="171">
        <f t="shared" si="167"/>
        <v>261</v>
      </c>
      <c r="W267" s="12">
        <f t="shared" si="168"/>
        <v>234</v>
      </c>
      <c r="X267" s="12">
        <f t="shared" si="169"/>
        <v>236</v>
      </c>
      <c r="Y267" s="12">
        <f>IF(Z267=0,VLOOKUP(W267,Kontenplan!$Y$9:$AA$551,3),"")</f>
        <v>0</v>
      </c>
      <c r="Z267" s="12">
        <f t="shared" ref="Z267:Z274" si="185">VLOOKUP(V267,$Q$7:$S$276,3)</f>
        <v>0</v>
      </c>
      <c r="AA267" s="12" t="str">
        <f t="shared" ref="AA267:AA274" ca="1" si="186">IF(AA$4+1=V267,$C$280,IF(AA$4+2=V267,"Total",IF(VLOOKUP(V267,$Q$7:$T$276,4)=0,"",VLOOKUP(V267,$Q$7:$T$276,4))))</f>
        <v/>
      </c>
      <c r="AB267" s="46" t="str">
        <f t="shared" ref="AB267:AB274" ca="1" si="187">IF($H$284=0,0,IF(AA$4+2=V267,"c",IF(AA267="Gewinn",J$280,IF(AA$4+2&lt;V267,"",VLOOKUP(V267,$Q$7:$U$276,5)))))</f>
        <v/>
      </c>
      <c r="AC267" s="46" t="str">
        <f t="shared" ref="AC267:AC274" ca="1" si="188">IF(AA267="Gewinn",AB267,IF(AA267="Total",BN267,IF(AND(Z268=0,Z267&gt;0),BP267,IF(AND(Z267&gt;0,Z268&gt;0),"",IF(Z267&gt;0,0,"")))))</f>
        <v/>
      </c>
      <c r="AD267" s="47"/>
      <c r="AE267" s="12">
        <f>IF(AF267=0,VLOOKUP(X267,Kontenplan!$Z$9:$AB$551,3),"")</f>
        <v>0</v>
      </c>
      <c r="AF267" s="47">
        <f t="shared" ref="AF267:AF274" si="189">VLOOKUP(V267,$R$7:$S$276,2)</f>
        <v>0</v>
      </c>
      <c r="AG267" s="12" t="str">
        <f t="shared" ref="AG267:AG274" ca="1" si="190">IF(AA$4+1=V267,$C$280,IF(AA$4+2=V267,"Total",IF(VLOOKUP(V267,$R$7:$T$276,3)=0,"",VLOOKUP(V267,$R$7:$T$276,3))))</f>
        <v/>
      </c>
      <c r="AH267" s="46" t="str">
        <f t="shared" ref="AH267:AH274" ca="1" si="191">IF($H$284=0,0,IF(AG267="Verlust",K$280,IF(AG267="Total","c",IF(AA$4+2&lt;V267,"",VLOOKUP(V267,$R$7:$U$276,4)))))</f>
        <v/>
      </c>
      <c r="AI267" s="46" t="str">
        <f t="shared" ref="AI267:AI274" ca="1" si="192">IF(AG267="Verlust",AH267,IF(AG267="Total",BR267,IF(AND(AF268=0,AF267&gt;0),BT267,IF(AND(AF267&gt;0,AF268&gt;0),"",IF(AF267&gt;0,0,"")))))</f>
        <v/>
      </c>
      <c r="AJ267" s="46"/>
      <c r="AK267" s="147">
        <f t="shared" ref="AK267:AK274" ca="1" si="193">IF(OR(AK266+0.7&gt;AL266,AQ267=""),AK266+0.0001,ROUND(AK266+1,0))</f>
        <v>2.025100000000053</v>
      </c>
      <c r="AL267" s="147">
        <f t="shared" ref="AL267:AL274" si="194">IF(OR(AM267="",AM267=0,AM268&lt;&gt;0),AL266+0.0001,ROUND(AL266+1,0))</f>
        <v>2.0254000000000536</v>
      </c>
      <c r="AM267" s="12" t="str">
        <f>IF(V267&lt;=AO$3,VLOOKUP(V267,Kontenplan!$A$9:$D$278,4),"")</f>
        <v/>
      </c>
      <c r="AN267" s="12">
        <f t="shared" ref="AN267:AN274" si="195">VLOOKUP(V267,$O$7:$S$276,5)</f>
        <v>0</v>
      </c>
      <c r="AO267" s="12" t="str">
        <f t="shared" ref="AO267:AO274" ca="1" si="196">IF($AO$4+1=V267,C$280,IF($AO$4+2=V267,"Total",IF(VLOOKUP(V267,$O$7:$T$276,6)=0,"",(VLOOKUP(V267,$O$7:$T$276,6)))))</f>
        <v/>
      </c>
      <c r="AP267" s="46" t="str">
        <f t="shared" ref="AP267:AP274" ca="1" si="197">IF($H$284=0,0,IF(AO$4+2=V267,"c",IF(AO267="Verlust",H$280,IF(AO$4+2&lt;V267,"",VLOOKUP(V267,$O$7:$U$276,7)))))</f>
        <v/>
      </c>
      <c r="AQ267" s="46" t="str">
        <f t="shared" ref="AQ267:AQ274" ca="1" si="198">IF(AO267="Verlust",AP267,IF(AO267="Total",BF267,IF(AND(AN268=0,AN267&gt;0),BH267,IF(AND(AN267&gt;0,AN268&gt;0),"",IF(AN267&gt;0,0,"")))))</f>
        <v/>
      </c>
      <c r="AR267" s="46"/>
      <c r="AS267" s="147">
        <f t="shared" ref="AS267:AS274" ca="1" si="199">IF(AW267="Gewinn",ROUND(AS266+1,0),IF(OR(AS266+0.7&gt;AT266,AY267=""),AS266+0.0001,ROUND(AS266+1,0)))</f>
        <v>3.0250000000000528</v>
      </c>
      <c r="AT267" s="147">
        <f t="shared" ref="AT267:AT274" si="200">IF(OR(AU267="",AU267=0,AU268&lt;&gt;0),AT266+0.0001,ROUND(AT266+1,0))</f>
        <v>2.0255000000000538</v>
      </c>
      <c r="AU267" s="47" t="str">
        <f>IF(V267&lt;=AW$3,VLOOKUP(AO$3+V267,Kontenplan!$A$9:$D$278,4),"")</f>
        <v/>
      </c>
      <c r="AV267" s="12">
        <f t="shared" ref="AV267:AV274" si="201">VLOOKUP(V267,$P$7:$S$276,4)</f>
        <v>0</v>
      </c>
      <c r="AW267" s="12" t="str">
        <f t="shared" ref="AW267:AW274" ca="1" si="202">IF($AO$4+1=V267,C$280,IF($AO$4+2=V267,"Total",IF(VLOOKUP(V267,$P$7:$T$276,5)=0,"",(VLOOKUP(V267,$P$7:$T$276,5)))))</f>
        <v/>
      </c>
      <c r="AX267" s="46" t="str">
        <f t="shared" ca="1" si="170"/>
        <v/>
      </c>
      <c r="AY267" s="46" t="str">
        <f t="shared" ref="AY267:AY274" ca="1" si="203">IF(AW267="Gewinn",AX267,IF(AW267="Total",BJ267,IF(AND(AV268=0,AV267&gt;0),BL267,IF(AND(AV267&gt;0,AV268&gt;0),"",IF(AV267&gt;0,0,"")))))</f>
        <v/>
      </c>
      <c r="AZ267" s="12"/>
      <c r="BA267" s="12">
        <f>Kontenplan!R269</f>
        <v>3</v>
      </c>
      <c r="BB267" s="12">
        <f>Kontenplan!S269</f>
        <v>2</v>
      </c>
      <c r="BC267" s="12">
        <f>Kontenplan!T269</f>
        <v>4</v>
      </c>
      <c r="BD267" s="170">
        <f>Kontenplan!U269</f>
        <v>4</v>
      </c>
      <c r="BE267" s="12"/>
      <c r="BF267" s="24">
        <f ca="1">SUM(AP$7:AP267)</f>
        <v>0</v>
      </c>
      <c r="BG267" s="46">
        <f ca="1">SUM(AQ$7:AQ266)</f>
        <v>0</v>
      </c>
      <c r="BH267" s="24">
        <f t="shared" ref="BH267:BH274" ca="1" si="204">BF267-BG267</f>
        <v>0</v>
      </c>
      <c r="BI267" s="24"/>
      <c r="BJ267" s="24">
        <f ca="1">SUM(AX$7:AX267)</f>
        <v>0</v>
      </c>
      <c r="BK267" s="24">
        <f ca="1">SUM(AY$7:AY266)</f>
        <v>0</v>
      </c>
      <c r="BL267" s="24">
        <f t="shared" ref="BL267:BL274" ca="1" si="205">BJ267-BK267</f>
        <v>0</v>
      </c>
      <c r="BM267" s="12"/>
      <c r="BN267" s="24">
        <f ca="1">SUM(AB$7:AB267)</f>
        <v>0</v>
      </c>
      <c r="BO267" s="46">
        <f ca="1">SUM(AC$7:AC266)</f>
        <v>0</v>
      </c>
      <c r="BP267" s="24">
        <f t="shared" ref="BP267:BP274" ca="1" si="206">BN267-BO267</f>
        <v>0</v>
      </c>
      <c r="BQ267" s="12"/>
      <c r="BR267" s="24">
        <f ca="1">SUM(AH$7:AH267)</f>
        <v>0</v>
      </c>
      <c r="BS267" s="46">
        <f ca="1">SUM(AI$7:AI266)</f>
        <v>0</v>
      </c>
      <c r="BT267" s="24">
        <f t="shared" ref="BT267:BT274" ca="1" si="207">BR267-BS267</f>
        <v>0</v>
      </c>
    </row>
    <row r="268" spans="1:72">
      <c r="A268" s="202">
        <f>Kontenplan!C270</f>
        <v>0</v>
      </c>
      <c r="B268" s="224">
        <f>Kontenplan!E270</f>
        <v>0</v>
      </c>
      <c r="C268" s="225">
        <f>Kontenplan!F270</f>
        <v>0</v>
      </c>
      <c r="D268" s="43">
        <f>IF(B268=0,0,SUMIF(Journal!$F$7:$F$83,Calc!B268,Journal!$I$7:$I$83))</f>
        <v>0</v>
      </c>
      <c r="E268" s="15">
        <f>IF(B268=0,0,SUMIF(Journal!$G$7:$M342,Calc!B268,Journal!$I$7:$I$83))</f>
        <v>0</v>
      </c>
      <c r="F268" s="44">
        <f t="shared" si="171"/>
        <v>0</v>
      </c>
      <c r="G268" s="15">
        <f t="shared" si="172"/>
        <v>0</v>
      </c>
      <c r="H268" s="14" t="str">
        <f t="shared" si="173"/>
        <v xml:space="preserve"> </v>
      </c>
      <c r="I268" s="43" t="str">
        <f t="shared" si="174"/>
        <v xml:space="preserve"> </v>
      </c>
      <c r="J268" s="45" t="str">
        <f t="shared" si="175"/>
        <v xml:space="preserve"> </v>
      </c>
      <c r="K268" s="48" t="str">
        <f t="shared" si="176"/>
        <v xml:space="preserve"> </v>
      </c>
      <c r="L268" s="45" t="str">
        <f t="shared" si="177"/>
        <v xml:space="preserve"> </v>
      </c>
      <c r="M268" s="48" t="str">
        <f t="shared" si="178"/>
        <v xml:space="preserve"> </v>
      </c>
      <c r="N268" s="24"/>
      <c r="O268" s="12">
        <f t="shared" si="179"/>
        <v>10.050399999999883</v>
      </c>
      <c r="P268" s="12">
        <f t="shared" si="180"/>
        <v>9.0485999999998867</v>
      </c>
      <c r="Q268" s="12">
        <f t="shared" si="181"/>
        <v>31.042399999999901</v>
      </c>
      <c r="R268" s="12">
        <f t="shared" si="182"/>
        <v>29.036599999999915</v>
      </c>
      <c r="S268" s="12">
        <f t="shared" si="183"/>
        <v>0</v>
      </c>
      <c r="T268" s="12">
        <f t="shared" si="184"/>
        <v>0</v>
      </c>
      <c r="U268" s="43">
        <f>IF(OR(A268=Kontenplan!$C$3,A268=Kontenplan!$C$5),F268-G268,G268-F268)</f>
        <v>0</v>
      </c>
      <c r="V268" s="171">
        <f t="shared" si="167"/>
        <v>262</v>
      </c>
      <c r="W268" s="12">
        <f t="shared" si="168"/>
        <v>235</v>
      </c>
      <c r="X268" s="12">
        <f t="shared" si="169"/>
        <v>237</v>
      </c>
      <c r="Y268" s="12">
        <f>IF(Z268=0,VLOOKUP(W268,Kontenplan!$Y$9:$AA$551,3),"")</f>
        <v>0</v>
      </c>
      <c r="Z268" s="12">
        <f t="shared" si="185"/>
        <v>0</v>
      </c>
      <c r="AA268" s="12" t="str">
        <f t="shared" ca="1" si="186"/>
        <v/>
      </c>
      <c r="AB268" s="46" t="str">
        <f t="shared" ca="1" si="187"/>
        <v/>
      </c>
      <c r="AC268" s="46" t="str">
        <f t="shared" ca="1" si="188"/>
        <v/>
      </c>
      <c r="AD268" s="47"/>
      <c r="AE268" s="12">
        <f>IF(AF268=0,VLOOKUP(X268,Kontenplan!$Z$9:$AB$551,3),"")</f>
        <v>0</v>
      </c>
      <c r="AF268" s="47">
        <f t="shared" si="189"/>
        <v>0</v>
      </c>
      <c r="AG268" s="12" t="str">
        <f t="shared" ca="1" si="190"/>
        <v/>
      </c>
      <c r="AH268" s="46" t="str">
        <f t="shared" ca="1" si="191"/>
        <v/>
      </c>
      <c r="AI268" s="46" t="str">
        <f t="shared" ca="1" si="192"/>
        <v/>
      </c>
      <c r="AJ268" s="46"/>
      <c r="AK268" s="147">
        <f t="shared" ca="1" si="193"/>
        <v>2.0252000000000532</v>
      </c>
      <c r="AL268" s="147">
        <f t="shared" si="194"/>
        <v>2.0255000000000538</v>
      </c>
      <c r="AM268" s="12" t="str">
        <f>IF(V268&lt;=AO$3,VLOOKUP(V268,Kontenplan!$A$9:$D$278,4),"")</f>
        <v/>
      </c>
      <c r="AN268" s="12">
        <f t="shared" si="195"/>
        <v>0</v>
      </c>
      <c r="AO268" s="12" t="str">
        <f t="shared" ca="1" si="196"/>
        <v/>
      </c>
      <c r="AP268" s="46" t="str">
        <f t="shared" ca="1" si="197"/>
        <v/>
      </c>
      <c r="AQ268" s="46" t="str">
        <f t="shared" ca="1" si="198"/>
        <v/>
      </c>
      <c r="AR268" s="46"/>
      <c r="AS268" s="147">
        <f t="shared" ca="1" si="199"/>
        <v>3.025100000000053</v>
      </c>
      <c r="AT268" s="147">
        <f t="shared" si="200"/>
        <v>2.025600000000054</v>
      </c>
      <c r="AU268" s="47" t="str">
        <f>IF(V268&lt;=AW$3,VLOOKUP(AO$3+V268,Kontenplan!$A$9:$D$278,4),"")</f>
        <v/>
      </c>
      <c r="AV268" s="12">
        <f t="shared" si="201"/>
        <v>0</v>
      </c>
      <c r="AW268" s="12" t="str">
        <f t="shared" ca="1" si="202"/>
        <v/>
      </c>
      <c r="AX268" s="46" t="str">
        <f t="shared" ca="1" si="170"/>
        <v/>
      </c>
      <c r="AY268" s="46" t="str">
        <f t="shared" ca="1" si="203"/>
        <v/>
      </c>
      <c r="AZ268" s="12"/>
      <c r="BA268" s="12">
        <f>Kontenplan!R270</f>
        <v>3</v>
      </c>
      <c r="BB268" s="12">
        <f>Kontenplan!S270</f>
        <v>2</v>
      </c>
      <c r="BC268" s="12">
        <f>Kontenplan!T270</f>
        <v>4</v>
      </c>
      <c r="BD268" s="170">
        <f>Kontenplan!U270</f>
        <v>4</v>
      </c>
      <c r="BE268" s="12"/>
      <c r="BF268" s="24">
        <f ca="1">SUM(AP$7:AP268)</f>
        <v>0</v>
      </c>
      <c r="BG268" s="46">
        <f ca="1">SUM(AQ$7:AQ267)</f>
        <v>0</v>
      </c>
      <c r="BH268" s="24">
        <f t="shared" ca="1" si="204"/>
        <v>0</v>
      </c>
      <c r="BI268" s="24"/>
      <c r="BJ268" s="24">
        <f ca="1">SUM(AX$7:AX268)</f>
        <v>0</v>
      </c>
      <c r="BK268" s="24">
        <f ca="1">SUM(AY$7:AY267)</f>
        <v>0</v>
      </c>
      <c r="BL268" s="24">
        <f t="shared" ca="1" si="205"/>
        <v>0</v>
      </c>
      <c r="BM268" s="12"/>
      <c r="BN268" s="24">
        <f ca="1">SUM(AB$7:AB268)</f>
        <v>0</v>
      </c>
      <c r="BO268" s="46">
        <f ca="1">SUM(AC$7:AC267)</f>
        <v>0</v>
      </c>
      <c r="BP268" s="24">
        <f t="shared" ca="1" si="206"/>
        <v>0</v>
      </c>
      <c r="BQ268" s="12"/>
      <c r="BR268" s="24">
        <f ca="1">SUM(AH$7:AH268)</f>
        <v>0</v>
      </c>
      <c r="BS268" s="46">
        <f ca="1">SUM(AI$7:AI267)</f>
        <v>0</v>
      </c>
      <c r="BT268" s="24">
        <f t="shared" ca="1" si="207"/>
        <v>0</v>
      </c>
    </row>
    <row r="269" spans="1:72">
      <c r="A269" s="202">
        <f>Kontenplan!C271</f>
        <v>0</v>
      </c>
      <c r="B269" s="224">
        <f>Kontenplan!E271</f>
        <v>0</v>
      </c>
      <c r="C269" s="225">
        <f>Kontenplan!F271</f>
        <v>0</v>
      </c>
      <c r="D269" s="43">
        <f>IF(B269=0,0,SUMIF(Journal!$F$7:$F$83,Calc!B269,Journal!$I$7:$I$83))</f>
        <v>0</v>
      </c>
      <c r="E269" s="15">
        <f>IF(B269=0,0,SUMIF(Journal!$G$7:$M343,Calc!B269,Journal!$I$7:$I$83))</f>
        <v>0</v>
      </c>
      <c r="F269" s="44">
        <f t="shared" si="171"/>
        <v>0</v>
      </c>
      <c r="G269" s="15">
        <f t="shared" si="172"/>
        <v>0</v>
      </c>
      <c r="H269" s="14" t="str">
        <f t="shared" si="173"/>
        <v xml:space="preserve"> </v>
      </c>
      <c r="I269" s="43" t="str">
        <f t="shared" si="174"/>
        <v xml:space="preserve"> </v>
      </c>
      <c r="J269" s="45" t="str">
        <f t="shared" si="175"/>
        <v xml:space="preserve"> </v>
      </c>
      <c r="K269" s="48" t="str">
        <f t="shared" si="176"/>
        <v xml:space="preserve"> </v>
      </c>
      <c r="L269" s="45" t="str">
        <f t="shared" si="177"/>
        <v xml:space="preserve"> </v>
      </c>
      <c r="M269" s="48" t="str">
        <f t="shared" si="178"/>
        <v xml:space="preserve"> </v>
      </c>
      <c r="N269" s="24"/>
      <c r="O269" s="12">
        <f t="shared" si="179"/>
        <v>10.050599999999882</v>
      </c>
      <c r="P269" s="12">
        <f t="shared" si="180"/>
        <v>9.0487999999998863</v>
      </c>
      <c r="Q269" s="12">
        <f t="shared" si="181"/>
        <v>31.042599999999901</v>
      </c>
      <c r="R269" s="12">
        <f t="shared" si="182"/>
        <v>29.036799999999914</v>
      </c>
      <c r="S269" s="12">
        <f t="shared" si="183"/>
        <v>0</v>
      </c>
      <c r="T269" s="12">
        <f t="shared" si="184"/>
        <v>0</v>
      </c>
      <c r="U269" s="43">
        <f>IF(OR(A269=Kontenplan!$C$3,A269=Kontenplan!$C$5),F269-G269,G269-F269)</f>
        <v>0</v>
      </c>
      <c r="V269" s="171">
        <f t="shared" si="167"/>
        <v>263</v>
      </c>
      <c r="W269" s="12">
        <f t="shared" si="168"/>
        <v>236</v>
      </c>
      <c r="X269" s="12">
        <f t="shared" si="169"/>
        <v>238</v>
      </c>
      <c r="Y269" s="12">
        <f>IF(Z269=0,VLOOKUP(W269,Kontenplan!$Y$9:$AA$551,3),"")</f>
        <v>0</v>
      </c>
      <c r="Z269" s="12">
        <f t="shared" si="185"/>
        <v>0</v>
      </c>
      <c r="AA269" s="12" t="str">
        <f t="shared" ca="1" si="186"/>
        <v/>
      </c>
      <c r="AB269" s="46" t="str">
        <f t="shared" ca="1" si="187"/>
        <v/>
      </c>
      <c r="AC269" s="46" t="str">
        <f t="shared" ca="1" si="188"/>
        <v/>
      </c>
      <c r="AD269" s="47"/>
      <c r="AE269" s="12">
        <f>IF(AF269=0,VLOOKUP(X269,Kontenplan!$Z$9:$AB$551,3),"")</f>
        <v>0</v>
      </c>
      <c r="AF269" s="47">
        <f t="shared" si="189"/>
        <v>0</v>
      </c>
      <c r="AG269" s="12" t="str">
        <f t="shared" ca="1" si="190"/>
        <v/>
      </c>
      <c r="AH269" s="46" t="str">
        <f t="shared" ca="1" si="191"/>
        <v/>
      </c>
      <c r="AI269" s="46" t="str">
        <f t="shared" ca="1" si="192"/>
        <v/>
      </c>
      <c r="AJ269" s="46"/>
      <c r="AK269" s="147">
        <f t="shared" ca="1" si="193"/>
        <v>2.0253000000000534</v>
      </c>
      <c r="AL269" s="147">
        <f t="shared" si="194"/>
        <v>2.025600000000054</v>
      </c>
      <c r="AM269" s="12" t="str">
        <f>IF(V269&lt;=AO$3,VLOOKUP(V269,Kontenplan!$A$9:$D$278,4),"")</f>
        <v/>
      </c>
      <c r="AN269" s="12">
        <f t="shared" si="195"/>
        <v>0</v>
      </c>
      <c r="AO269" s="12" t="str">
        <f t="shared" ca="1" si="196"/>
        <v/>
      </c>
      <c r="AP269" s="46" t="str">
        <f t="shared" ca="1" si="197"/>
        <v/>
      </c>
      <c r="AQ269" s="46" t="str">
        <f t="shared" ca="1" si="198"/>
        <v/>
      </c>
      <c r="AR269" s="46"/>
      <c r="AS269" s="147">
        <f t="shared" ca="1" si="199"/>
        <v>3.0252000000000532</v>
      </c>
      <c r="AT269" s="147">
        <f t="shared" si="200"/>
        <v>2.0257000000000542</v>
      </c>
      <c r="AU269" s="47" t="str">
        <f>IF(V269&lt;=AW$3,VLOOKUP(AO$3+V269,Kontenplan!$A$9:$D$278,4),"")</f>
        <v/>
      </c>
      <c r="AV269" s="12">
        <f t="shared" si="201"/>
        <v>0</v>
      </c>
      <c r="AW269" s="12" t="str">
        <f t="shared" ca="1" si="202"/>
        <v/>
      </c>
      <c r="AX269" s="46" t="str">
        <f t="shared" ca="1" si="170"/>
        <v/>
      </c>
      <c r="AY269" s="46" t="str">
        <f t="shared" ca="1" si="203"/>
        <v/>
      </c>
      <c r="AZ269" s="12"/>
      <c r="BA269" s="12">
        <f>Kontenplan!R271</f>
        <v>3</v>
      </c>
      <c r="BB269" s="12">
        <f>Kontenplan!S271</f>
        <v>2</v>
      </c>
      <c r="BC269" s="12">
        <f>Kontenplan!T271</f>
        <v>4</v>
      </c>
      <c r="BD269" s="170">
        <f>Kontenplan!U271</f>
        <v>4</v>
      </c>
      <c r="BE269" s="12"/>
      <c r="BF269" s="24">
        <f ca="1">SUM(AP$7:AP269)</f>
        <v>0</v>
      </c>
      <c r="BG269" s="46">
        <f ca="1">SUM(AQ$7:AQ268)</f>
        <v>0</v>
      </c>
      <c r="BH269" s="24">
        <f t="shared" ca="1" si="204"/>
        <v>0</v>
      </c>
      <c r="BI269" s="24"/>
      <c r="BJ269" s="24">
        <f ca="1">SUM(AX$7:AX269)</f>
        <v>0</v>
      </c>
      <c r="BK269" s="24">
        <f ca="1">SUM(AY$7:AY268)</f>
        <v>0</v>
      </c>
      <c r="BL269" s="24">
        <f t="shared" ca="1" si="205"/>
        <v>0</v>
      </c>
      <c r="BM269" s="12"/>
      <c r="BN269" s="24">
        <f ca="1">SUM(AB$7:AB269)</f>
        <v>0</v>
      </c>
      <c r="BO269" s="46">
        <f ca="1">SUM(AC$7:AC268)</f>
        <v>0</v>
      </c>
      <c r="BP269" s="24">
        <f t="shared" ca="1" si="206"/>
        <v>0</v>
      </c>
      <c r="BQ269" s="12"/>
      <c r="BR269" s="24">
        <f ca="1">SUM(AH$7:AH269)</f>
        <v>0</v>
      </c>
      <c r="BS269" s="46">
        <f ca="1">SUM(AI$7:AI268)</f>
        <v>0</v>
      </c>
      <c r="BT269" s="24">
        <f t="shared" ca="1" si="207"/>
        <v>0</v>
      </c>
    </row>
    <row r="270" spans="1:72">
      <c r="A270" s="202">
        <f>Kontenplan!C272</f>
        <v>0</v>
      </c>
      <c r="B270" s="224">
        <f>Kontenplan!E272</f>
        <v>0</v>
      </c>
      <c r="C270" s="225">
        <f>Kontenplan!F272</f>
        <v>0</v>
      </c>
      <c r="D270" s="43">
        <f>IF(B270=0,0,SUMIF(Journal!$F$7:$F$83,Calc!B270,Journal!$I$7:$I$83))</f>
        <v>0</v>
      </c>
      <c r="E270" s="15">
        <f>IF(B270=0,0,SUMIF(Journal!$G$7:$M344,Calc!B270,Journal!$I$7:$I$83))</f>
        <v>0</v>
      </c>
      <c r="F270" s="44">
        <f t="shared" si="171"/>
        <v>0</v>
      </c>
      <c r="G270" s="15">
        <f t="shared" si="172"/>
        <v>0</v>
      </c>
      <c r="H270" s="14" t="str">
        <f t="shared" si="173"/>
        <v xml:space="preserve"> </v>
      </c>
      <c r="I270" s="43" t="str">
        <f t="shared" si="174"/>
        <v xml:space="preserve"> </v>
      </c>
      <c r="J270" s="45" t="str">
        <f t="shared" si="175"/>
        <v xml:space="preserve"> </v>
      </c>
      <c r="K270" s="48" t="str">
        <f t="shared" si="176"/>
        <v xml:space="preserve"> </v>
      </c>
      <c r="L270" s="45" t="str">
        <f t="shared" si="177"/>
        <v xml:space="preserve"> </v>
      </c>
      <c r="M270" s="48" t="str">
        <f t="shared" si="178"/>
        <v xml:space="preserve"> </v>
      </c>
      <c r="N270" s="24"/>
      <c r="O270" s="12">
        <f t="shared" si="179"/>
        <v>10.050799999999882</v>
      </c>
      <c r="P270" s="12">
        <f t="shared" si="180"/>
        <v>9.0489999999998858</v>
      </c>
      <c r="Q270" s="12">
        <f t="shared" si="181"/>
        <v>31.0427999999999</v>
      </c>
      <c r="R270" s="12">
        <f t="shared" si="182"/>
        <v>29.036999999999914</v>
      </c>
      <c r="S270" s="12">
        <f t="shared" si="183"/>
        <v>0</v>
      </c>
      <c r="T270" s="12">
        <f t="shared" si="184"/>
        <v>0</v>
      </c>
      <c r="U270" s="43">
        <f>IF(OR(A270=Kontenplan!$C$3,A270=Kontenplan!$C$5),F270-G270,G270-F270)</f>
        <v>0</v>
      </c>
      <c r="V270" s="171">
        <f t="shared" si="167"/>
        <v>264</v>
      </c>
      <c r="W270" s="12">
        <f t="shared" si="168"/>
        <v>237</v>
      </c>
      <c r="X270" s="12">
        <f t="shared" si="169"/>
        <v>239</v>
      </c>
      <c r="Y270" s="12">
        <f>IF(Z270=0,VLOOKUP(W270,Kontenplan!$Y$9:$AA$551,3),"")</f>
        <v>0</v>
      </c>
      <c r="Z270" s="12">
        <f t="shared" si="185"/>
        <v>0</v>
      </c>
      <c r="AA270" s="12" t="str">
        <f t="shared" ca="1" si="186"/>
        <v/>
      </c>
      <c r="AB270" s="46" t="str">
        <f t="shared" ca="1" si="187"/>
        <v/>
      </c>
      <c r="AC270" s="46" t="str">
        <f t="shared" ca="1" si="188"/>
        <v/>
      </c>
      <c r="AD270" s="47"/>
      <c r="AE270" s="12">
        <f>IF(AF270=0,VLOOKUP(X270,Kontenplan!$Z$9:$AB$551,3),"")</f>
        <v>0</v>
      </c>
      <c r="AF270" s="47">
        <f t="shared" si="189"/>
        <v>0</v>
      </c>
      <c r="AG270" s="12" t="str">
        <f t="shared" ca="1" si="190"/>
        <v/>
      </c>
      <c r="AH270" s="46" t="str">
        <f t="shared" ca="1" si="191"/>
        <v/>
      </c>
      <c r="AI270" s="46" t="str">
        <f t="shared" ca="1" si="192"/>
        <v/>
      </c>
      <c r="AJ270" s="46"/>
      <c r="AK270" s="147">
        <f t="shared" ca="1" si="193"/>
        <v>2.0254000000000536</v>
      </c>
      <c r="AL270" s="147">
        <f t="shared" si="194"/>
        <v>2.0257000000000542</v>
      </c>
      <c r="AM270" s="12" t="str">
        <f>IF(V270&lt;=AO$3,VLOOKUP(V270,Kontenplan!$A$9:$D$278,4),"")</f>
        <v/>
      </c>
      <c r="AN270" s="12">
        <f t="shared" si="195"/>
        <v>0</v>
      </c>
      <c r="AO270" s="12" t="str">
        <f t="shared" ca="1" si="196"/>
        <v/>
      </c>
      <c r="AP270" s="46" t="str">
        <f t="shared" ca="1" si="197"/>
        <v/>
      </c>
      <c r="AQ270" s="46" t="str">
        <f t="shared" ca="1" si="198"/>
        <v/>
      </c>
      <c r="AR270" s="46"/>
      <c r="AS270" s="147">
        <f t="shared" ca="1" si="199"/>
        <v>3.0253000000000534</v>
      </c>
      <c r="AT270" s="147">
        <f t="shared" si="200"/>
        <v>2.0258000000000544</v>
      </c>
      <c r="AU270" s="47" t="str">
        <f>IF(V270&lt;=AW$3,VLOOKUP(AO$3+V270,Kontenplan!$A$9:$D$278,4),"")</f>
        <v/>
      </c>
      <c r="AV270" s="12">
        <f t="shared" si="201"/>
        <v>0</v>
      </c>
      <c r="AW270" s="12" t="str">
        <f t="shared" ca="1" si="202"/>
        <v/>
      </c>
      <c r="AX270" s="46" t="str">
        <f t="shared" ca="1" si="170"/>
        <v/>
      </c>
      <c r="AY270" s="46" t="str">
        <f t="shared" ca="1" si="203"/>
        <v/>
      </c>
      <c r="AZ270" s="12"/>
      <c r="BA270" s="12">
        <f>Kontenplan!R272</f>
        <v>3</v>
      </c>
      <c r="BB270" s="12">
        <f>Kontenplan!S272</f>
        <v>2</v>
      </c>
      <c r="BC270" s="12">
        <f>Kontenplan!T272</f>
        <v>4</v>
      </c>
      <c r="BD270" s="170">
        <f>Kontenplan!U272</f>
        <v>4</v>
      </c>
      <c r="BE270" s="12"/>
      <c r="BF270" s="24">
        <f ca="1">SUM(AP$7:AP270)</f>
        <v>0</v>
      </c>
      <c r="BG270" s="46">
        <f ca="1">SUM(AQ$7:AQ269)</f>
        <v>0</v>
      </c>
      <c r="BH270" s="24">
        <f t="shared" ca="1" si="204"/>
        <v>0</v>
      </c>
      <c r="BI270" s="24"/>
      <c r="BJ270" s="24">
        <f ca="1">SUM(AX$7:AX270)</f>
        <v>0</v>
      </c>
      <c r="BK270" s="24">
        <f ca="1">SUM(AY$7:AY269)</f>
        <v>0</v>
      </c>
      <c r="BL270" s="24">
        <f t="shared" ca="1" si="205"/>
        <v>0</v>
      </c>
      <c r="BM270" s="12"/>
      <c r="BN270" s="24">
        <f ca="1">SUM(AB$7:AB270)</f>
        <v>0</v>
      </c>
      <c r="BO270" s="46">
        <f ca="1">SUM(AC$7:AC269)</f>
        <v>0</v>
      </c>
      <c r="BP270" s="24">
        <f t="shared" ca="1" si="206"/>
        <v>0</v>
      </c>
      <c r="BQ270" s="12"/>
      <c r="BR270" s="24">
        <f ca="1">SUM(AH$7:AH270)</f>
        <v>0</v>
      </c>
      <c r="BS270" s="46">
        <f ca="1">SUM(AI$7:AI269)</f>
        <v>0</v>
      </c>
      <c r="BT270" s="24">
        <f t="shared" ca="1" si="207"/>
        <v>0</v>
      </c>
    </row>
    <row r="271" spans="1:72">
      <c r="A271" s="202">
        <f>Kontenplan!C273</f>
        <v>0</v>
      </c>
      <c r="B271" s="224">
        <f>Kontenplan!E273</f>
        <v>0</v>
      </c>
      <c r="C271" s="225">
        <f>Kontenplan!F273</f>
        <v>0</v>
      </c>
      <c r="D271" s="43">
        <f>IF(B271=0,0,SUMIF(Journal!$F$7:$F$83,Calc!B271,Journal!$I$7:$I$83))</f>
        <v>0</v>
      </c>
      <c r="E271" s="15">
        <f>IF(B271=0,0,SUMIF(Journal!$G$7:$M345,Calc!B271,Journal!$I$7:$I$83))</f>
        <v>0</v>
      </c>
      <c r="F271" s="44">
        <f t="shared" si="171"/>
        <v>0</v>
      </c>
      <c r="G271" s="15">
        <f t="shared" si="172"/>
        <v>0</v>
      </c>
      <c r="H271" s="14" t="str">
        <f t="shared" si="173"/>
        <v xml:space="preserve"> </v>
      </c>
      <c r="I271" s="43" t="str">
        <f t="shared" si="174"/>
        <v xml:space="preserve"> </v>
      </c>
      <c r="J271" s="45" t="str">
        <f t="shared" si="175"/>
        <v xml:space="preserve"> </v>
      </c>
      <c r="K271" s="48" t="str">
        <f t="shared" si="176"/>
        <v xml:space="preserve"> </v>
      </c>
      <c r="L271" s="45" t="str">
        <f t="shared" si="177"/>
        <v xml:space="preserve"> </v>
      </c>
      <c r="M271" s="48" t="str">
        <f t="shared" si="178"/>
        <v xml:space="preserve"> </v>
      </c>
      <c r="N271" s="24"/>
      <c r="O271" s="12">
        <f t="shared" si="179"/>
        <v>10.050999999999881</v>
      </c>
      <c r="P271" s="12">
        <f t="shared" si="180"/>
        <v>9.0491999999998853</v>
      </c>
      <c r="Q271" s="12">
        <f t="shared" si="181"/>
        <v>31.0429999999999</v>
      </c>
      <c r="R271" s="12">
        <f t="shared" si="182"/>
        <v>29.037199999999913</v>
      </c>
      <c r="S271" s="12">
        <f t="shared" si="183"/>
        <v>0</v>
      </c>
      <c r="T271" s="12">
        <f t="shared" si="184"/>
        <v>0</v>
      </c>
      <c r="U271" s="43">
        <f>IF(OR(A271=Kontenplan!$C$3,A271=Kontenplan!$C$5),F271-G271,G271-F271)</f>
        <v>0</v>
      </c>
      <c r="V271" s="171">
        <f t="shared" si="167"/>
        <v>265</v>
      </c>
      <c r="W271" s="12">
        <f t="shared" si="168"/>
        <v>238</v>
      </c>
      <c r="X271" s="12">
        <f t="shared" si="169"/>
        <v>240</v>
      </c>
      <c r="Y271" s="12">
        <f>IF(Z271=0,VLOOKUP(W271,Kontenplan!$Y$9:$AA$551,3),"")</f>
        <v>0</v>
      </c>
      <c r="Z271" s="12">
        <f t="shared" si="185"/>
        <v>0</v>
      </c>
      <c r="AA271" s="12" t="str">
        <f t="shared" ca="1" si="186"/>
        <v/>
      </c>
      <c r="AB271" s="46" t="str">
        <f t="shared" ca="1" si="187"/>
        <v/>
      </c>
      <c r="AC271" s="46" t="str">
        <f t="shared" ca="1" si="188"/>
        <v/>
      </c>
      <c r="AD271" s="47"/>
      <c r="AE271" s="12">
        <f>IF(AF271=0,VLOOKUP(X271,Kontenplan!$Z$9:$AB$551,3),"")</f>
        <v>0</v>
      </c>
      <c r="AF271" s="47">
        <f t="shared" si="189"/>
        <v>0</v>
      </c>
      <c r="AG271" s="12" t="str">
        <f t="shared" ca="1" si="190"/>
        <v/>
      </c>
      <c r="AH271" s="46" t="str">
        <f t="shared" ca="1" si="191"/>
        <v/>
      </c>
      <c r="AI271" s="46" t="str">
        <f t="shared" ca="1" si="192"/>
        <v/>
      </c>
      <c r="AJ271" s="46"/>
      <c r="AK271" s="147">
        <f t="shared" ca="1" si="193"/>
        <v>2.0255000000000538</v>
      </c>
      <c r="AL271" s="147">
        <f t="shared" si="194"/>
        <v>2.0258000000000544</v>
      </c>
      <c r="AM271" s="12" t="str">
        <f>IF(V271&lt;=AO$3,VLOOKUP(V271,Kontenplan!$A$9:$D$278,4),"")</f>
        <v/>
      </c>
      <c r="AN271" s="12">
        <f t="shared" si="195"/>
        <v>0</v>
      </c>
      <c r="AO271" s="12" t="str">
        <f t="shared" ca="1" si="196"/>
        <v/>
      </c>
      <c r="AP271" s="46" t="str">
        <f t="shared" ca="1" si="197"/>
        <v/>
      </c>
      <c r="AQ271" s="46" t="str">
        <f t="shared" ca="1" si="198"/>
        <v/>
      </c>
      <c r="AR271" s="46"/>
      <c r="AS271" s="147">
        <f t="shared" ca="1" si="199"/>
        <v>3.0254000000000536</v>
      </c>
      <c r="AT271" s="147">
        <f t="shared" si="200"/>
        <v>2.0259000000000547</v>
      </c>
      <c r="AU271" s="47" t="str">
        <f>IF(V271&lt;=AW$3,VLOOKUP(AO$3+V271,Kontenplan!$A$9:$D$278,4),"")</f>
        <v/>
      </c>
      <c r="AV271" s="12">
        <f t="shared" si="201"/>
        <v>0</v>
      </c>
      <c r="AW271" s="12" t="str">
        <f t="shared" ca="1" si="202"/>
        <v/>
      </c>
      <c r="AX271" s="46" t="str">
        <f t="shared" ca="1" si="170"/>
        <v/>
      </c>
      <c r="AY271" s="46" t="str">
        <f t="shared" ca="1" si="203"/>
        <v/>
      </c>
      <c r="AZ271" s="12"/>
      <c r="BA271" s="12">
        <f>Kontenplan!R273</f>
        <v>3</v>
      </c>
      <c r="BB271" s="12">
        <f>Kontenplan!S273</f>
        <v>2</v>
      </c>
      <c r="BC271" s="12">
        <f>Kontenplan!T273</f>
        <v>4</v>
      </c>
      <c r="BD271" s="170">
        <f>Kontenplan!U273</f>
        <v>4</v>
      </c>
      <c r="BE271" s="12"/>
      <c r="BF271" s="24">
        <f ca="1">SUM(AP$7:AP271)</f>
        <v>0</v>
      </c>
      <c r="BG271" s="46">
        <f ca="1">SUM(AQ$7:AQ270)</f>
        <v>0</v>
      </c>
      <c r="BH271" s="24">
        <f t="shared" ca="1" si="204"/>
        <v>0</v>
      </c>
      <c r="BI271" s="24"/>
      <c r="BJ271" s="24">
        <f ca="1">SUM(AX$7:AX271)</f>
        <v>0</v>
      </c>
      <c r="BK271" s="24">
        <f ca="1">SUM(AY$7:AY270)</f>
        <v>0</v>
      </c>
      <c r="BL271" s="24">
        <f t="shared" ca="1" si="205"/>
        <v>0</v>
      </c>
      <c r="BM271" s="12"/>
      <c r="BN271" s="24">
        <f ca="1">SUM(AB$7:AB271)</f>
        <v>0</v>
      </c>
      <c r="BO271" s="46">
        <f ca="1">SUM(AC$7:AC270)</f>
        <v>0</v>
      </c>
      <c r="BP271" s="24">
        <f t="shared" ca="1" si="206"/>
        <v>0</v>
      </c>
      <c r="BQ271" s="12"/>
      <c r="BR271" s="24">
        <f ca="1">SUM(AH$7:AH271)</f>
        <v>0</v>
      </c>
      <c r="BS271" s="46">
        <f ca="1">SUM(AI$7:AI270)</f>
        <v>0</v>
      </c>
      <c r="BT271" s="24">
        <f t="shared" ca="1" si="207"/>
        <v>0</v>
      </c>
    </row>
    <row r="272" spans="1:72">
      <c r="A272" s="202">
        <f>Kontenplan!C274</f>
        <v>0</v>
      </c>
      <c r="B272" s="224">
        <f>Kontenplan!E274</f>
        <v>0</v>
      </c>
      <c r="C272" s="225">
        <f>Kontenplan!F274</f>
        <v>0</v>
      </c>
      <c r="D272" s="43">
        <f>IF(B272=0,0,SUMIF(Journal!$F$7:$F$83,Calc!B272,Journal!$I$7:$I$83))</f>
        <v>0</v>
      </c>
      <c r="E272" s="15">
        <f>IF(B272=0,0,SUMIF(Journal!$G$7:$M346,Calc!B272,Journal!$I$7:$I$83))</f>
        <v>0</v>
      </c>
      <c r="F272" s="44">
        <f t="shared" si="171"/>
        <v>0</v>
      </c>
      <c r="G272" s="15">
        <f t="shared" si="172"/>
        <v>0</v>
      </c>
      <c r="H272" s="14" t="str">
        <f t="shared" si="173"/>
        <v xml:space="preserve"> </v>
      </c>
      <c r="I272" s="43" t="str">
        <f t="shared" si="174"/>
        <v xml:space="preserve"> </v>
      </c>
      <c r="J272" s="45" t="str">
        <f t="shared" si="175"/>
        <v xml:space="preserve"> </v>
      </c>
      <c r="K272" s="48" t="str">
        <f t="shared" si="176"/>
        <v xml:space="preserve"> </v>
      </c>
      <c r="L272" s="45" t="str">
        <f t="shared" si="177"/>
        <v xml:space="preserve"> </v>
      </c>
      <c r="M272" s="48" t="str">
        <f t="shared" si="178"/>
        <v xml:space="preserve"> </v>
      </c>
      <c r="N272" s="24"/>
      <c r="O272" s="12">
        <f t="shared" si="179"/>
        <v>10.051199999999881</v>
      </c>
      <c r="P272" s="12">
        <f t="shared" si="180"/>
        <v>9.0493999999998849</v>
      </c>
      <c r="Q272" s="12">
        <f t="shared" si="181"/>
        <v>31.043199999999899</v>
      </c>
      <c r="R272" s="12">
        <f t="shared" si="182"/>
        <v>29.037399999999913</v>
      </c>
      <c r="S272" s="12">
        <f t="shared" si="183"/>
        <v>0</v>
      </c>
      <c r="T272" s="12">
        <f t="shared" si="184"/>
        <v>0</v>
      </c>
      <c r="U272" s="43">
        <f>IF(OR(A272=Kontenplan!$C$3,A272=Kontenplan!$C$5),F272-G272,G272-F272)</f>
        <v>0</v>
      </c>
      <c r="V272" s="171">
        <f t="shared" si="167"/>
        <v>266</v>
      </c>
      <c r="W272" s="12">
        <f t="shared" si="168"/>
        <v>239</v>
      </c>
      <c r="X272" s="12">
        <f t="shared" si="169"/>
        <v>241</v>
      </c>
      <c r="Y272" s="12">
        <f>IF(Z272=0,VLOOKUP(W272,Kontenplan!$Y$9:$AA$551,3),"")</f>
        <v>0</v>
      </c>
      <c r="Z272" s="12">
        <f t="shared" si="185"/>
        <v>0</v>
      </c>
      <c r="AA272" s="12" t="str">
        <f t="shared" ca="1" si="186"/>
        <v/>
      </c>
      <c r="AB272" s="46" t="str">
        <f t="shared" ca="1" si="187"/>
        <v/>
      </c>
      <c r="AC272" s="46" t="str">
        <f t="shared" ca="1" si="188"/>
        <v/>
      </c>
      <c r="AD272" s="47"/>
      <c r="AE272" s="12">
        <f>IF(AF272=0,VLOOKUP(X272,Kontenplan!$Z$9:$AB$551,3),"")</f>
        <v>0</v>
      </c>
      <c r="AF272" s="47">
        <f t="shared" si="189"/>
        <v>0</v>
      </c>
      <c r="AG272" s="12" t="str">
        <f t="shared" ca="1" si="190"/>
        <v/>
      </c>
      <c r="AH272" s="46" t="str">
        <f t="shared" ca="1" si="191"/>
        <v/>
      </c>
      <c r="AI272" s="46" t="str">
        <f t="shared" ca="1" si="192"/>
        <v/>
      </c>
      <c r="AJ272" s="46"/>
      <c r="AK272" s="147">
        <f t="shared" ca="1" si="193"/>
        <v>2.025600000000054</v>
      </c>
      <c r="AL272" s="147">
        <f t="shared" si="194"/>
        <v>2.0259000000000547</v>
      </c>
      <c r="AM272" s="12" t="str">
        <f>IF(V272&lt;=AO$3,VLOOKUP(V272,Kontenplan!$A$9:$D$278,4),"")</f>
        <v/>
      </c>
      <c r="AN272" s="12">
        <f t="shared" si="195"/>
        <v>0</v>
      </c>
      <c r="AO272" s="12" t="str">
        <f t="shared" ca="1" si="196"/>
        <v/>
      </c>
      <c r="AP272" s="46" t="str">
        <f t="shared" ca="1" si="197"/>
        <v/>
      </c>
      <c r="AQ272" s="46" t="str">
        <f t="shared" ca="1" si="198"/>
        <v/>
      </c>
      <c r="AR272" s="46"/>
      <c r="AS272" s="147">
        <f t="shared" ca="1" si="199"/>
        <v>3.0255000000000538</v>
      </c>
      <c r="AT272" s="147">
        <f t="shared" si="200"/>
        <v>2.0260000000000549</v>
      </c>
      <c r="AU272" s="47" t="str">
        <f>IF(V272&lt;=AW$3,VLOOKUP(AO$3+V272,Kontenplan!$A$9:$D$278,4),"")</f>
        <v/>
      </c>
      <c r="AV272" s="12">
        <f t="shared" si="201"/>
        <v>0</v>
      </c>
      <c r="AW272" s="12" t="str">
        <f t="shared" ca="1" si="202"/>
        <v/>
      </c>
      <c r="AX272" s="46" t="str">
        <f t="shared" ca="1" si="170"/>
        <v/>
      </c>
      <c r="AY272" s="46" t="str">
        <f t="shared" ca="1" si="203"/>
        <v/>
      </c>
      <c r="AZ272" s="12"/>
      <c r="BA272" s="12">
        <f>Kontenplan!R274</f>
        <v>3</v>
      </c>
      <c r="BB272" s="12">
        <f>Kontenplan!S274</f>
        <v>2</v>
      </c>
      <c r="BC272" s="12">
        <f>Kontenplan!T274</f>
        <v>4</v>
      </c>
      <c r="BD272" s="170">
        <f>Kontenplan!U274</f>
        <v>4</v>
      </c>
      <c r="BE272" s="12"/>
      <c r="BF272" s="24">
        <f ca="1">SUM(AP$7:AP272)</f>
        <v>0</v>
      </c>
      <c r="BG272" s="46">
        <f ca="1">SUM(AQ$7:AQ271)</f>
        <v>0</v>
      </c>
      <c r="BH272" s="24">
        <f t="shared" ca="1" si="204"/>
        <v>0</v>
      </c>
      <c r="BI272" s="24"/>
      <c r="BJ272" s="24">
        <f ca="1">SUM(AX$7:AX272)</f>
        <v>0</v>
      </c>
      <c r="BK272" s="24">
        <f ca="1">SUM(AY$7:AY271)</f>
        <v>0</v>
      </c>
      <c r="BL272" s="24">
        <f t="shared" ca="1" si="205"/>
        <v>0</v>
      </c>
      <c r="BM272" s="12"/>
      <c r="BN272" s="24">
        <f ca="1">SUM(AB$7:AB272)</f>
        <v>0</v>
      </c>
      <c r="BO272" s="46">
        <f ca="1">SUM(AC$7:AC271)</f>
        <v>0</v>
      </c>
      <c r="BP272" s="24">
        <f t="shared" ca="1" si="206"/>
        <v>0</v>
      </c>
      <c r="BQ272" s="12"/>
      <c r="BR272" s="24">
        <f ca="1">SUM(AH$7:AH272)</f>
        <v>0</v>
      </c>
      <c r="BS272" s="46">
        <f ca="1">SUM(AI$7:AI271)</f>
        <v>0</v>
      </c>
      <c r="BT272" s="24">
        <f t="shared" ca="1" si="207"/>
        <v>0</v>
      </c>
    </row>
    <row r="273" spans="1:72">
      <c r="A273" s="202">
        <f>Kontenplan!C275</f>
        <v>0</v>
      </c>
      <c r="B273" s="224">
        <f>Kontenplan!E275</f>
        <v>0</v>
      </c>
      <c r="C273" s="225">
        <f>Kontenplan!F275</f>
        <v>0</v>
      </c>
      <c r="D273" s="43">
        <f>IF(B273=0,0,SUMIF(Journal!$F$7:$F$83,Calc!B273,Journal!$I$7:$I$83))</f>
        <v>0</v>
      </c>
      <c r="E273" s="15">
        <f>IF(B273=0,0,SUMIF(Journal!$G$7:$M347,Calc!B273,Journal!$I$7:$I$83))</f>
        <v>0</v>
      </c>
      <c r="F273" s="44">
        <f t="shared" si="171"/>
        <v>0</v>
      </c>
      <c r="G273" s="15">
        <f t="shared" si="172"/>
        <v>0</v>
      </c>
      <c r="H273" s="14" t="str">
        <f t="shared" si="173"/>
        <v xml:space="preserve"> </v>
      </c>
      <c r="I273" s="43" t="str">
        <f t="shared" si="174"/>
        <v xml:space="preserve"> </v>
      </c>
      <c r="J273" s="45" t="str">
        <f t="shared" si="175"/>
        <v xml:space="preserve"> </v>
      </c>
      <c r="K273" s="48" t="str">
        <f t="shared" si="176"/>
        <v xml:space="preserve"> </v>
      </c>
      <c r="L273" s="45" t="str">
        <f t="shared" si="177"/>
        <v xml:space="preserve"> </v>
      </c>
      <c r="M273" s="48" t="str">
        <f t="shared" si="178"/>
        <v xml:space="preserve"> </v>
      </c>
      <c r="N273" s="24"/>
      <c r="O273" s="12">
        <f t="shared" si="179"/>
        <v>10.05139999999988</v>
      </c>
      <c r="P273" s="12">
        <f t="shared" si="180"/>
        <v>9.0495999999998844</v>
      </c>
      <c r="Q273" s="12">
        <f t="shared" si="181"/>
        <v>31.043399999999899</v>
      </c>
      <c r="R273" s="12">
        <f t="shared" si="182"/>
        <v>29.037599999999912</v>
      </c>
      <c r="S273" s="12">
        <f t="shared" si="183"/>
        <v>0</v>
      </c>
      <c r="T273" s="12">
        <f t="shared" si="184"/>
        <v>0</v>
      </c>
      <c r="U273" s="43">
        <f>IF(OR(A273=Kontenplan!$C$3,A273=Kontenplan!$C$5),F273-G273,G273-F273)</f>
        <v>0</v>
      </c>
      <c r="V273" s="171">
        <f t="shared" si="167"/>
        <v>267</v>
      </c>
      <c r="W273" s="12">
        <f t="shared" si="168"/>
        <v>240</v>
      </c>
      <c r="X273" s="12">
        <f t="shared" si="169"/>
        <v>242</v>
      </c>
      <c r="Y273" s="12">
        <f>IF(Z273=0,VLOOKUP(W273,Kontenplan!$Y$9:$AA$551,3),"")</f>
        <v>0</v>
      </c>
      <c r="Z273" s="12">
        <f t="shared" si="185"/>
        <v>0</v>
      </c>
      <c r="AA273" s="12" t="str">
        <f t="shared" ca="1" si="186"/>
        <v/>
      </c>
      <c r="AB273" s="46" t="str">
        <f t="shared" ca="1" si="187"/>
        <v/>
      </c>
      <c r="AC273" s="46" t="str">
        <f t="shared" ca="1" si="188"/>
        <v/>
      </c>
      <c r="AD273" s="47"/>
      <c r="AE273" s="12">
        <f>IF(AF273=0,VLOOKUP(X273,Kontenplan!$Z$9:$AB$551,3),"")</f>
        <v>0</v>
      </c>
      <c r="AF273" s="47">
        <f t="shared" si="189"/>
        <v>0</v>
      </c>
      <c r="AG273" s="12" t="str">
        <f t="shared" ca="1" si="190"/>
        <v/>
      </c>
      <c r="AH273" s="46" t="str">
        <f t="shared" ca="1" si="191"/>
        <v/>
      </c>
      <c r="AI273" s="46" t="str">
        <f t="shared" ca="1" si="192"/>
        <v/>
      </c>
      <c r="AJ273" s="46"/>
      <c r="AK273" s="147">
        <f t="shared" ca="1" si="193"/>
        <v>2.0257000000000542</v>
      </c>
      <c r="AL273" s="147">
        <f t="shared" si="194"/>
        <v>2.0260000000000549</v>
      </c>
      <c r="AM273" s="12" t="str">
        <f>IF(V273&lt;=AO$3,VLOOKUP(V273,Kontenplan!$A$9:$D$278,4),"")</f>
        <v/>
      </c>
      <c r="AN273" s="12">
        <f t="shared" si="195"/>
        <v>0</v>
      </c>
      <c r="AO273" s="12" t="str">
        <f t="shared" ca="1" si="196"/>
        <v/>
      </c>
      <c r="AP273" s="46" t="str">
        <f t="shared" ca="1" si="197"/>
        <v/>
      </c>
      <c r="AQ273" s="46" t="str">
        <f t="shared" ca="1" si="198"/>
        <v/>
      </c>
      <c r="AR273" s="46"/>
      <c r="AS273" s="147">
        <f t="shared" ca="1" si="199"/>
        <v>3.025600000000054</v>
      </c>
      <c r="AT273" s="147">
        <f t="shared" si="200"/>
        <v>2.0261000000000551</v>
      </c>
      <c r="AU273" s="47" t="str">
        <f>IF(V273&lt;=AW$3,VLOOKUP(AO$3+V273,Kontenplan!$A$9:$D$278,4),"")</f>
        <v/>
      </c>
      <c r="AV273" s="12">
        <f t="shared" si="201"/>
        <v>0</v>
      </c>
      <c r="AW273" s="12" t="str">
        <f t="shared" ca="1" si="202"/>
        <v/>
      </c>
      <c r="AX273" s="46" t="str">
        <f t="shared" ca="1" si="170"/>
        <v/>
      </c>
      <c r="AY273" s="46" t="str">
        <f t="shared" ca="1" si="203"/>
        <v/>
      </c>
      <c r="AZ273" s="12"/>
      <c r="BA273" s="12">
        <f>Kontenplan!R275</f>
        <v>3</v>
      </c>
      <c r="BB273" s="12">
        <f>Kontenplan!S275</f>
        <v>2</v>
      </c>
      <c r="BC273" s="12">
        <f>Kontenplan!T275</f>
        <v>4</v>
      </c>
      <c r="BD273" s="170">
        <f>Kontenplan!U275</f>
        <v>4</v>
      </c>
      <c r="BE273" s="12"/>
      <c r="BF273" s="24">
        <f ca="1">SUM(AP$7:AP273)</f>
        <v>0</v>
      </c>
      <c r="BG273" s="46">
        <f ca="1">SUM(AQ$7:AQ272)</f>
        <v>0</v>
      </c>
      <c r="BH273" s="24">
        <f t="shared" ca="1" si="204"/>
        <v>0</v>
      </c>
      <c r="BI273" s="24"/>
      <c r="BJ273" s="24">
        <f ca="1">SUM(AX$7:AX273)</f>
        <v>0</v>
      </c>
      <c r="BK273" s="24">
        <f ca="1">SUM(AY$7:AY272)</f>
        <v>0</v>
      </c>
      <c r="BL273" s="24">
        <f t="shared" ca="1" si="205"/>
        <v>0</v>
      </c>
      <c r="BM273" s="12"/>
      <c r="BN273" s="24">
        <f ca="1">SUM(AB$7:AB273)</f>
        <v>0</v>
      </c>
      <c r="BO273" s="46">
        <f ca="1">SUM(AC$7:AC272)</f>
        <v>0</v>
      </c>
      <c r="BP273" s="24">
        <f t="shared" ca="1" si="206"/>
        <v>0</v>
      </c>
      <c r="BQ273" s="12"/>
      <c r="BR273" s="24">
        <f ca="1">SUM(AH$7:AH273)</f>
        <v>0</v>
      </c>
      <c r="BS273" s="46">
        <f ca="1">SUM(AI$7:AI272)</f>
        <v>0</v>
      </c>
      <c r="BT273" s="24">
        <f t="shared" ca="1" si="207"/>
        <v>0</v>
      </c>
    </row>
    <row r="274" spans="1:72">
      <c r="A274" s="202">
        <f>Kontenplan!C276</f>
        <v>0</v>
      </c>
      <c r="B274" s="224">
        <f>Kontenplan!E276</f>
        <v>0</v>
      </c>
      <c r="C274" s="225">
        <f>Kontenplan!F276</f>
        <v>0</v>
      </c>
      <c r="D274" s="43">
        <f>IF(B274=0,0,SUMIF(Journal!$F$7:$F$83,Calc!B274,Journal!$I$7:$I$83))</f>
        <v>0</v>
      </c>
      <c r="E274" s="15">
        <f>IF(B274=0,0,SUMIF(Journal!$G$7:$M348,Calc!B274,Journal!$I$7:$I$83))</f>
        <v>0</v>
      </c>
      <c r="F274" s="44">
        <f t="shared" si="171"/>
        <v>0</v>
      </c>
      <c r="G274" s="15">
        <f t="shared" si="172"/>
        <v>0</v>
      </c>
      <c r="H274" s="14" t="str">
        <f t="shared" si="173"/>
        <v xml:space="preserve"> </v>
      </c>
      <c r="I274" s="43" t="str">
        <f t="shared" si="174"/>
        <v xml:space="preserve"> </v>
      </c>
      <c r="J274" s="45" t="str">
        <f t="shared" si="175"/>
        <v xml:space="preserve"> </v>
      </c>
      <c r="K274" s="48" t="str">
        <f t="shared" si="176"/>
        <v xml:space="preserve"> </v>
      </c>
      <c r="L274" s="45" t="str">
        <f t="shared" si="177"/>
        <v xml:space="preserve"> </v>
      </c>
      <c r="M274" s="48" t="str">
        <f t="shared" si="178"/>
        <v xml:space="preserve"> </v>
      </c>
      <c r="N274" s="24"/>
      <c r="O274" s="12">
        <f t="shared" si="179"/>
        <v>10.05159999999988</v>
      </c>
      <c r="P274" s="12">
        <f t="shared" si="180"/>
        <v>9.0497999999998839</v>
      </c>
      <c r="Q274" s="12">
        <f t="shared" si="181"/>
        <v>31.043599999999898</v>
      </c>
      <c r="R274" s="12">
        <f t="shared" si="182"/>
        <v>29.037799999999912</v>
      </c>
      <c r="S274" s="12">
        <f t="shared" si="183"/>
        <v>0</v>
      </c>
      <c r="T274" s="12">
        <f t="shared" si="184"/>
        <v>0</v>
      </c>
      <c r="U274" s="43">
        <f>IF(OR(A274=Kontenplan!$C$3,A274=Kontenplan!$C$5),F274-G274,G274-F274)</f>
        <v>0</v>
      </c>
      <c r="V274" s="171">
        <f t="shared" si="167"/>
        <v>268</v>
      </c>
      <c r="W274" s="12">
        <f t="shared" si="168"/>
        <v>241</v>
      </c>
      <c r="X274" s="12">
        <f t="shared" si="169"/>
        <v>243</v>
      </c>
      <c r="Y274" s="12">
        <f>IF(Z274=0,VLOOKUP(W274,Kontenplan!$Y$9:$AA$551,3),"")</f>
        <v>0</v>
      </c>
      <c r="Z274" s="12">
        <f t="shared" si="185"/>
        <v>0</v>
      </c>
      <c r="AA274" s="12" t="str">
        <f t="shared" ca="1" si="186"/>
        <v/>
      </c>
      <c r="AB274" s="46" t="str">
        <f t="shared" ca="1" si="187"/>
        <v/>
      </c>
      <c r="AC274" s="46" t="str">
        <f t="shared" ca="1" si="188"/>
        <v/>
      </c>
      <c r="AD274" s="47"/>
      <c r="AE274" s="12">
        <f>IF(AF274=0,VLOOKUP(X274,Kontenplan!$Z$9:$AB$551,3),"")</f>
        <v>0</v>
      </c>
      <c r="AF274" s="47">
        <f t="shared" si="189"/>
        <v>0</v>
      </c>
      <c r="AG274" s="12" t="str">
        <f t="shared" ca="1" si="190"/>
        <v/>
      </c>
      <c r="AH274" s="46" t="str">
        <f t="shared" ca="1" si="191"/>
        <v/>
      </c>
      <c r="AI274" s="46" t="str">
        <f t="shared" ca="1" si="192"/>
        <v/>
      </c>
      <c r="AJ274" s="46"/>
      <c r="AK274" s="147">
        <f t="shared" ca="1" si="193"/>
        <v>2.0258000000000544</v>
      </c>
      <c r="AL274" s="147">
        <f t="shared" si="194"/>
        <v>2.0261000000000551</v>
      </c>
      <c r="AM274" s="12" t="str">
        <f>IF(V274&lt;=AO$3,VLOOKUP(V274,Kontenplan!$A$9:$D$278,4),"")</f>
        <v/>
      </c>
      <c r="AN274" s="12">
        <f t="shared" si="195"/>
        <v>0</v>
      </c>
      <c r="AO274" s="12" t="str">
        <f t="shared" ca="1" si="196"/>
        <v/>
      </c>
      <c r="AP274" s="46" t="str">
        <f t="shared" ca="1" si="197"/>
        <v/>
      </c>
      <c r="AQ274" s="46" t="str">
        <f t="shared" ca="1" si="198"/>
        <v/>
      </c>
      <c r="AR274" s="46"/>
      <c r="AS274" s="147">
        <f t="shared" ca="1" si="199"/>
        <v>3.0257000000000542</v>
      </c>
      <c r="AT274" s="147">
        <f t="shared" si="200"/>
        <v>2.0262000000000553</v>
      </c>
      <c r="AU274" s="47" t="str">
        <f>IF(V274&lt;=AW$3,VLOOKUP(AO$3+V274,Kontenplan!$A$9:$D$278,4),"")</f>
        <v/>
      </c>
      <c r="AV274" s="12">
        <f t="shared" si="201"/>
        <v>0</v>
      </c>
      <c r="AW274" s="12" t="str">
        <f t="shared" ca="1" si="202"/>
        <v/>
      </c>
      <c r="AX274" s="46" t="str">
        <f t="shared" ca="1" si="170"/>
        <v/>
      </c>
      <c r="AY274" s="46" t="str">
        <f t="shared" ca="1" si="203"/>
        <v/>
      </c>
      <c r="AZ274" s="12"/>
      <c r="BA274" s="12">
        <f>Kontenplan!R276</f>
        <v>3</v>
      </c>
      <c r="BB274" s="12">
        <f>Kontenplan!S276</f>
        <v>2</v>
      </c>
      <c r="BC274" s="12">
        <f>Kontenplan!T276</f>
        <v>4</v>
      </c>
      <c r="BD274" s="170">
        <f>Kontenplan!U276</f>
        <v>4</v>
      </c>
      <c r="BE274" s="12"/>
      <c r="BF274" s="24">
        <f ca="1">SUM(AP$7:AP274)</f>
        <v>0</v>
      </c>
      <c r="BG274" s="46">
        <f ca="1">SUM(AQ$7:AQ273)</f>
        <v>0</v>
      </c>
      <c r="BH274" s="24">
        <f t="shared" ca="1" si="204"/>
        <v>0</v>
      </c>
      <c r="BI274" s="24"/>
      <c r="BJ274" s="24">
        <f ca="1">SUM(AX$7:AX274)</f>
        <v>0</v>
      </c>
      <c r="BK274" s="24">
        <f ca="1">SUM(AY$7:AY273)</f>
        <v>0</v>
      </c>
      <c r="BL274" s="24">
        <f t="shared" ca="1" si="205"/>
        <v>0</v>
      </c>
      <c r="BM274" s="12"/>
      <c r="BN274" s="24">
        <f ca="1">SUM(AB$7:AB274)</f>
        <v>0</v>
      </c>
      <c r="BO274" s="46">
        <f ca="1">SUM(AC$7:AC273)</f>
        <v>0</v>
      </c>
      <c r="BP274" s="24">
        <f t="shared" ca="1" si="206"/>
        <v>0</v>
      </c>
      <c r="BQ274" s="12"/>
      <c r="BR274" s="24">
        <f ca="1">SUM(AH$7:AH274)</f>
        <v>0</v>
      </c>
      <c r="BS274" s="46">
        <f ca="1">SUM(AI$7:AI273)</f>
        <v>0</v>
      </c>
      <c r="BT274" s="24">
        <f t="shared" ca="1" si="207"/>
        <v>0</v>
      </c>
    </row>
    <row r="275" spans="1:72">
      <c r="A275" s="202">
        <f>Kontenplan!C277</f>
        <v>0</v>
      </c>
      <c r="B275" s="224">
        <f>Kontenplan!E277</f>
        <v>0</v>
      </c>
      <c r="C275" s="225">
        <f>Kontenplan!F277</f>
        <v>0</v>
      </c>
      <c r="D275" s="43">
        <f>IF(B275=0,0,SUMIF(Journal!$F$7:$F$83,Calc!B275,Journal!$I$7:$I$83))</f>
        <v>0</v>
      </c>
      <c r="E275" s="15">
        <f>IF(B275=0,0,SUMIF(Journal!$G$7:$M349,Calc!B275,Journal!$I$7:$I$83))</f>
        <v>0</v>
      </c>
      <c r="F275" s="44">
        <f>IF(D275-E275&gt;0,D275-E275,0)</f>
        <v>0</v>
      </c>
      <c r="G275" s="15">
        <f>IF(E275&gt;D275,E275-D275,0)</f>
        <v>0</v>
      </c>
      <c r="H275" s="14" t="str">
        <f>IF(AND(OR(A275="Aktivkonto",A275="Passivkonto"),F275&gt;0),F275," ")</f>
        <v xml:space="preserve"> </v>
      </c>
      <c r="I275" s="43" t="str">
        <f>IF(AND(OR(A275="Aktivkonto",A275="Passivkonto"),G275&gt;0),G275," ")</f>
        <v xml:space="preserve"> </v>
      </c>
      <c r="J275" s="45" t="str">
        <f>IF(AND(OR(A275="Aufwandskonto",A275="Ertragskonto",A275="Ertragsminderung",A275="a.o.Erfolgskonto"),F275&gt;0),F275," ")</f>
        <v xml:space="preserve"> </v>
      </c>
      <c r="K275" s="48" t="str">
        <f>IF(AND(OR(A275="Aufwandskonto",A275="Ertragskonto",A275="Ertragsminderung",A275="a.o.Erfolgskonto"),G275&gt;0),G275," ")</f>
        <v xml:space="preserve"> </v>
      </c>
      <c r="L275" s="45" t="str">
        <f>H275</f>
        <v xml:space="preserve"> </v>
      </c>
      <c r="M275" s="48" t="str">
        <f>I275</f>
        <v xml:space="preserve"> </v>
      </c>
      <c r="N275" s="24"/>
      <c r="O275" s="12">
        <f>IF(OR(BA275-BA274=1,$A275=O$5),ROUND(O274+1,0),O274+0.0002)</f>
        <v>10.051799999999879</v>
      </c>
      <c r="P275" s="12">
        <f>IF(OR(BB275-BB274=1,$A275=P$5),ROUND(P274+1,0),P274+0.0002)</f>
        <v>9.0499999999998835</v>
      </c>
      <c r="Q275" s="12">
        <f>IF(OR($A275=Q$5,BC275-BC274=1),ROUND(Q274+1,0),Q274+0.0002)</f>
        <v>31.043799999999898</v>
      </c>
      <c r="R275" s="12">
        <f>IF(OR(BD275-BD274=1,$A275=R$5),ROUND(R274+1,0),R274+0.0002)</f>
        <v>29.037999999999911</v>
      </c>
      <c r="S275" s="12">
        <f>B275</f>
        <v>0</v>
      </c>
      <c r="T275" s="12">
        <f>C275</f>
        <v>0</v>
      </c>
      <c r="U275" s="43">
        <f>IF(OR(A275=Kontenplan!$C$3,A275=Kontenplan!$C$5),F275-G275,G275-F275)</f>
        <v>0</v>
      </c>
      <c r="V275" s="171">
        <f>V274+1</f>
        <v>269</v>
      </c>
      <c r="W275" s="12">
        <f t="shared" si="168"/>
        <v>242</v>
      </c>
      <c r="X275" s="12">
        <f t="shared" si="169"/>
        <v>244</v>
      </c>
      <c r="Y275" s="12">
        <f>IF(Z275=0,VLOOKUP(W275,Kontenplan!$Y$9:$AA$551,3),"")</f>
        <v>0</v>
      </c>
      <c r="Z275" s="12">
        <f>VLOOKUP(V275,$Q$7:$S$276,3)</f>
        <v>0</v>
      </c>
      <c r="AA275" s="12" t="str">
        <f ca="1">IF(AA$4+1=V275,$C$280,IF(AA$4+2=V275,"Total",IF(VLOOKUP(V275,$Q$7:$T$276,4)=0,"",VLOOKUP(V275,$Q$7:$T$276,4))))</f>
        <v/>
      </c>
      <c r="AB275" s="46" t="str">
        <f ca="1">IF($H$284=0,0,IF(AA$4+2=V275,"c",IF(AA275="Gewinn",J$280,IF(AA$4+2&lt;V275,"",VLOOKUP(V275,$Q$7:$U$276,5)))))</f>
        <v/>
      </c>
      <c r="AC275" s="46" t="str">
        <f ca="1">IF(AA275="Gewinn",AB275,IF(AA275="Total",BN275,IF(AND(Z453=0,Z275&gt;0),BP275,IF(AND(Z275&gt;0,Z453&gt;0),"",IF(Z275&gt;0,0,"")))))</f>
        <v/>
      </c>
      <c r="AD275" s="47"/>
      <c r="AE275" s="12">
        <f>IF(AF275=0,VLOOKUP(X275,Kontenplan!$Z$9:$AB$551,3),"")</f>
        <v>0</v>
      </c>
      <c r="AF275" s="47">
        <f>VLOOKUP(V275,$R$7:$S$276,2)</f>
        <v>0</v>
      </c>
      <c r="AG275" s="12" t="str">
        <f ca="1">IF(AA$4+1=V275,$C$280,IF(AA$4+2=V275,"Total",IF(VLOOKUP(V275,$R$7:$T$276,3)=0,"",VLOOKUP(V275,$R$7:$T$276,3))))</f>
        <v/>
      </c>
      <c r="AH275" s="46" t="str">
        <f ca="1">IF($H$284=0,0,IF(AG275="Verlust",K$280,IF(AG275="Total","c",IF(AA$4+2&lt;V275,"",VLOOKUP(V275,$R$7:$U$276,4)))))</f>
        <v/>
      </c>
      <c r="AI275" s="46" t="str">
        <f ca="1">IF(AG275="Verlust",AH275,IF(AG275="Total",BR275,IF(AND(AF453=0,AF275&gt;0),BT275,IF(AND(AF275&gt;0,AF453&gt;0),"",IF(AF275&gt;0,0,"")))))</f>
        <v/>
      </c>
      <c r="AJ275" s="46"/>
      <c r="AK275" s="147">
        <f ca="1">IF(OR(AK274+0.7&gt;AL274,AQ275=""),AK274+0.0001,ROUND(AK274+1,0))</f>
        <v>2.0259000000000547</v>
      </c>
      <c r="AL275" s="147">
        <f>IF(OR(AM275="",AM275=0,AM453&lt;&gt;0),AL274+0.0001,ROUND(AL274+1,0))</f>
        <v>2.0262000000000553</v>
      </c>
      <c r="AM275" s="12" t="str">
        <f>IF(V275&lt;=AO$3,VLOOKUP(V275,Kontenplan!$A$9:$D$278,4),"")</f>
        <v/>
      </c>
      <c r="AN275" s="12">
        <f>VLOOKUP(V275,$O$7:$S$276,5)</f>
        <v>0</v>
      </c>
      <c r="AO275" s="12" t="str">
        <f ca="1">IF($AO$4+1=V275,C$280,IF($AO$4+2=V275,"Total",IF(VLOOKUP(V275,$O$7:$T$276,6)=0,"",(VLOOKUP(V275,$O$7:$T$276,6)))))</f>
        <v/>
      </c>
      <c r="AP275" s="46" t="str">
        <f ca="1">IF($H$284=0,0,IF(AO$4+2=V275,"c",IF(AO275="Verlust",H$280,IF(AO$4+2&lt;V275,"",VLOOKUP(V275,$O$7:$U$276,7)))))</f>
        <v/>
      </c>
      <c r="AQ275" s="46" t="str">
        <f ca="1">IF(AO275="Verlust",AP275,IF(AO275="Total",BF275,IF(AND(AN453=0,AN275&gt;0),BH275,IF(AND(AN275&gt;0,AN453&gt;0),"",IF(AN275&gt;0,0,"")))))</f>
        <v/>
      </c>
      <c r="AR275" s="46"/>
      <c r="AS275" s="147">
        <f ca="1">IF(AW275="Gewinn",ROUND(AS274+1,0),IF(OR(AS274+0.7&gt;AT274,AY275=""),AS274+0.0001,ROUND(AS274+1,0)))</f>
        <v>3.0258000000000544</v>
      </c>
      <c r="AT275" s="147">
        <f>IF(OR(AU275="",AU275=0,AU453&lt;&gt;0),AT274+0.0001,ROUND(AT274+1,0))</f>
        <v>2.0263000000000555</v>
      </c>
      <c r="AU275" s="47" t="str">
        <f>IF(V275&lt;=AW$3,VLOOKUP(AO$3+V275,Kontenplan!$A$9:$D$278,4),"")</f>
        <v/>
      </c>
      <c r="AV275" s="12">
        <f>VLOOKUP(V275,$P$7:$S$276,4)</f>
        <v>0</v>
      </c>
      <c r="AW275" s="12" t="str">
        <f ca="1">IF($AO$4+1=V275,C$280,IF($AO$4+2=V275,"Total",IF(VLOOKUP(V275,$P$7:$T$276,5)=0,"",(VLOOKUP(V275,$P$7:$T$276,5)))))</f>
        <v/>
      </c>
      <c r="AX275" s="46" t="str">
        <f t="shared" ca="1" si="170"/>
        <v/>
      </c>
      <c r="AY275" s="46" t="str">
        <f ca="1">IF(AW275="Gewinn",AX275,IF(AW275="Total",BJ275,IF(AND(AV453=0,AV275&gt;0),BL275,IF(AND(AV275&gt;0,AV453&gt;0),"",IF(AV275&gt;0,0,"")))))</f>
        <v/>
      </c>
      <c r="AZ275" s="12"/>
      <c r="BA275" s="12">
        <f>Kontenplan!R277</f>
        <v>3</v>
      </c>
      <c r="BB275" s="12">
        <f>Kontenplan!S277</f>
        <v>2</v>
      </c>
      <c r="BC275" s="12">
        <f>Kontenplan!T277</f>
        <v>4</v>
      </c>
      <c r="BD275" s="170">
        <f>Kontenplan!U277</f>
        <v>4</v>
      </c>
      <c r="BE275" s="12"/>
      <c r="BF275" s="24">
        <f ca="1">SUM(AP$7:AP275)</f>
        <v>0</v>
      </c>
      <c r="BG275" s="46">
        <f ca="1">SUM(AQ$7:AQ274)</f>
        <v>0</v>
      </c>
      <c r="BH275" s="24">
        <f ca="1">BF275-BG275</f>
        <v>0</v>
      </c>
      <c r="BI275" s="24"/>
      <c r="BJ275" s="24">
        <f ca="1">SUM(AX$7:AX275)</f>
        <v>0</v>
      </c>
      <c r="BK275" s="24">
        <f ca="1">SUM(AY$7:AY274)</f>
        <v>0</v>
      </c>
      <c r="BL275" s="24">
        <f ca="1">BJ275-BK275</f>
        <v>0</v>
      </c>
      <c r="BM275" s="12"/>
      <c r="BN275" s="24">
        <f ca="1">SUM(AB$7:AB275)</f>
        <v>0</v>
      </c>
      <c r="BO275" s="46">
        <f ca="1">SUM(AC$7:AC274)</f>
        <v>0</v>
      </c>
      <c r="BP275" s="24">
        <f ca="1">BN275-BO275</f>
        <v>0</v>
      </c>
      <c r="BQ275" s="12"/>
      <c r="BR275" s="24">
        <f ca="1">SUM(AH$7:AH275)</f>
        <v>0</v>
      </c>
      <c r="BS275" s="46">
        <f ca="1">SUM(AI$7:AI274)</f>
        <v>0</v>
      </c>
      <c r="BT275" s="24">
        <f ca="1">BR275-BS275</f>
        <v>0</v>
      </c>
    </row>
    <row r="276" spans="1:72">
      <c r="A276" s="202"/>
      <c r="B276" s="224"/>
      <c r="C276" s="225"/>
      <c r="D276" s="43"/>
      <c r="E276" s="15"/>
      <c r="F276" s="44"/>
      <c r="G276" s="15"/>
      <c r="H276" s="14"/>
      <c r="I276" s="43"/>
      <c r="J276" s="45"/>
      <c r="K276" s="48"/>
      <c r="L276" s="45"/>
      <c r="M276" s="48"/>
      <c r="N276" s="24"/>
      <c r="O276" s="12"/>
      <c r="P276" s="12"/>
      <c r="Q276" s="12"/>
      <c r="R276" s="12"/>
      <c r="S276" s="12"/>
      <c r="T276" s="12"/>
      <c r="U276" s="43"/>
      <c r="W276" s="12"/>
      <c r="X276" s="12"/>
      <c r="Y276" s="12"/>
      <c r="Z276" s="12"/>
      <c r="AI276" s="46"/>
      <c r="BA276" s="12"/>
      <c r="BB276" s="12"/>
      <c r="BC276" s="12"/>
      <c r="BD276" s="12"/>
    </row>
    <row r="277" spans="1:72">
      <c r="A277" s="202"/>
      <c r="B277" s="212"/>
      <c r="C277" s="212"/>
      <c r="D277" s="43"/>
      <c r="E277" s="15"/>
      <c r="F277" s="44"/>
      <c r="G277" s="15"/>
      <c r="H277" s="14"/>
      <c r="I277" s="43"/>
      <c r="J277" s="45" t="str">
        <f t="shared" ref="J277:M278" si="208">IF(AND(OR(A277="Aufwandskonto",A277="Ertragskonto",A277="Ertragsminderung",A277="a. o. Erfolgskonto"),F277&gt;0),F277," ")</f>
        <v xml:space="preserve"> </v>
      </c>
      <c r="K277" s="48" t="str">
        <f t="shared" si="208"/>
        <v xml:space="preserve"> </v>
      </c>
      <c r="L277" s="45" t="str">
        <f t="shared" si="208"/>
        <v xml:space="preserve"> </v>
      </c>
      <c r="M277" s="48" t="str">
        <f t="shared" si="208"/>
        <v xml:space="preserve"> </v>
      </c>
      <c r="N277" s="24"/>
      <c r="W277" s="12"/>
      <c r="X277" s="12"/>
      <c r="Y277" s="12"/>
      <c r="Z277" s="12"/>
      <c r="AI277" s="46" t="str">
        <f t="shared" ref="AI277:AI298" si="209">IF(AG277="Total",BR277,IF(AND(AF278=0,AF277&gt;0),BT277,IF(AND(AF277&gt;0,AF278&gt;0),"",IF(AF277&gt;0,0,""))))</f>
        <v/>
      </c>
    </row>
    <row r="278" spans="1:72">
      <c r="A278" s="49"/>
      <c r="B278" s="49"/>
      <c r="C278" s="50"/>
      <c r="D278" s="51"/>
      <c r="E278" s="52"/>
      <c r="F278" s="53" t="str">
        <f>IF(D278-E278&gt;0,D278-E278," ")</f>
        <v xml:space="preserve"> </v>
      </c>
      <c r="G278" s="52" t="str">
        <f>IF(E278&gt;D278,E278-D278," ")</f>
        <v xml:space="preserve"> </v>
      </c>
      <c r="H278" s="54"/>
      <c r="I278" s="51"/>
      <c r="J278" s="55" t="str">
        <f t="shared" si="208"/>
        <v xml:space="preserve"> </v>
      </c>
      <c r="K278" s="56" t="str">
        <f t="shared" si="208"/>
        <v xml:space="preserve"> </v>
      </c>
      <c r="L278" s="55" t="str">
        <f t="shared" si="208"/>
        <v xml:space="preserve"> </v>
      </c>
      <c r="M278" s="56" t="str">
        <f t="shared" si="208"/>
        <v xml:space="preserve"> </v>
      </c>
      <c r="N278" s="24"/>
      <c r="W278" s="12"/>
      <c r="X278" s="12"/>
      <c r="Y278" s="12"/>
      <c r="Z278" s="12"/>
      <c r="AI278" s="46" t="str">
        <f t="shared" si="209"/>
        <v/>
      </c>
    </row>
    <row r="279" spans="1:72" ht="13.5" thickBot="1">
      <c r="B279" s="12"/>
      <c r="C279" s="12"/>
      <c r="D279" s="57">
        <f>SUM(D7:D204)</f>
        <v>40</v>
      </c>
      <c r="E279" s="58">
        <f ca="1">SUM(E7:E204)</f>
        <v>40</v>
      </c>
      <c r="F279" s="59">
        <f t="shared" ref="F279:M279" ca="1" si="210">SUM(F7:F278)</f>
        <v>40</v>
      </c>
      <c r="G279" s="58">
        <f t="shared" ca="1" si="210"/>
        <v>40</v>
      </c>
      <c r="H279" s="54">
        <f t="shared" ca="1" si="210"/>
        <v>40</v>
      </c>
      <c r="I279" s="51">
        <f t="shared" ca="1" si="210"/>
        <v>40</v>
      </c>
      <c r="J279" s="60">
        <f t="shared" ca="1" si="210"/>
        <v>0</v>
      </c>
      <c r="K279" s="61">
        <f t="shared" ca="1" si="210"/>
        <v>0</v>
      </c>
      <c r="L279" s="62">
        <f t="shared" ca="1" si="210"/>
        <v>40</v>
      </c>
      <c r="M279" s="63">
        <f t="shared" ca="1" si="210"/>
        <v>40</v>
      </c>
      <c r="O279">
        <f>ROUND(MAX(O7:O276),0)</f>
        <v>10</v>
      </c>
      <c r="P279">
        <f>ROUND(MAX(P7:P276),0)</f>
        <v>9</v>
      </c>
      <c r="Q279">
        <f>ROUND(MAX(Q7:Q276),0)</f>
        <v>31</v>
      </c>
      <c r="R279">
        <f>ROUND(MAX(R7:R276),0)</f>
        <v>29</v>
      </c>
      <c r="V279" s="172"/>
      <c r="W279" s="9"/>
      <c r="X279" s="9"/>
      <c r="Y279" s="9"/>
      <c r="Z279" s="9"/>
      <c r="AI279" s="46" t="str">
        <f t="shared" si="209"/>
        <v/>
      </c>
    </row>
    <row r="280" spans="1:72" ht="13.5" thickTop="1">
      <c r="C280" s="12" t="str">
        <f ca="1">IF(K280&gt;0,"Verlust","Gewinn")</f>
        <v>Gewinn</v>
      </c>
      <c r="D280" s="12"/>
      <c r="E280" s="12"/>
      <c r="F280" s="43"/>
      <c r="G280" s="43"/>
      <c r="H280" s="64">
        <f ca="1">IF(I279-H279&gt;(-1),I279-H279,0)</f>
        <v>0</v>
      </c>
      <c r="I280" s="43">
        <f ca="1">IF(H279-I279&gt;(-1),H279-I279,0)</f>
        <v>0</v>
      </c>
      <c r="J280" s="65">
        <f ca="1">IF(J279-K279&lt;1,K279-J279,0)</f>
        <v>0</v>
      </c>
      <c r="K280" s="25">
        <f ca="1">IF(K279-J279&lt;1,J279-K279,0)</f>
        <v>0</v>
      </c>
      <c r="L280" s="25"/>
      <c r="M280" s="25"/>
      <c r="W280" s="12"/>
      <c r="X280" s="12"/>
      <c r="Y280" s="12"/>
      <c r="Z280" s="12"/>
      <c r="AI280" s="46" t="str">
        <f t="shared" si="209"/>
        <v/>
      </c>
    </row>
    <row r="281" spans="1:72" ht="13.5" thickBot="1">
      <c r="C281" s="12"/>
      <c r="D281" s="12"/>
      <c r="E281" s="12"/>
      <c r="F281" s="43"/>
      <c r="G281" s="43"/>
      <c r="H281" s="66">
        <f ca="1">SUM(H279:H280)</f>
        <v>40</v>
      </c>
      <c r="I281" s="67">
        <f ca="1">SUM(I279:I280)</f>
        <v>40</v>
      </c>
      <c r="J281" s="62">
        <f ca="1">SUM(J279:J280)</f>
        <v>0</v>
      </c>
      <c r="K281" s="63">
        <f ca="1">SUM(K279:K280)</f>
        <v>0</v>
      </c>
      <c r="L281" s="25"/>
      <c r="M281" s="25"/>
      <c r="W281" s="12"/>
      <c r="X281" s="12"/>
      <c r="Y281" s="12"/>
      <c r="Z281" s="12"/>
      <c r="AI281" s="46" t="str">
        <f t="shared" si="209"/>
        <v/>
      </c>
    </row>
    <row r="282" spans="1:72" ht="13.5" thickTop="1">
      <c r="M282" t="s">
        <v>228</v>
      </c>
      <c r="N282" t="s">
        <v>229</v>
      </c>
      <c r="O282" s="200" t="s">
        <v>230</v>
      </c>
      <c r="W282" s="12"/>
      <c r="X282" s="12"/>
      <c r="Y282" s="12"/>
      <c r="Z282" s="12"/>
      <c r="AI282" s="46" t="str">
        <f t="shared" si="209"/>
        <v/>
      </c>
    </row>
    <row r="283" spans="1:72">
      <c r="B283" s="200" t="s">
        <v>231</v>
      </c>
      <c r="G283" s="196" t="s">
        <v>232</v>
      </c>
      <c r="H283" s="196"/>
      <c r="I283" s="82">
        <f>LEN(H283)</f>
        <v>0</v>
      </c>
      <c r="J283" s="226" t="s">
        <v>233</v>
      </c>
      <c r="K283" s="226">
        <f ca="1">IF(AND(N283=8.1,OR(H$283=O283,M283=1)),1,0)</f>
        <v>1</v>
      </c>
      <c r="L283" s="227">
        <f>HLOOKUP(82,Journal!$Q$2:$R$83,82)</f>
        <v>82.1</v>
      </c>
      <c r="M283" s="228">
        <f ca="1">IF(OR(Bilanz!A3=Bilanz!M7,Bilanz!A3=Bilanz!M8,Bilanz!A3,Bilanz!M9),1,0)</f>
        <v>0</v>
      </c>
      <c r="N283" s="229">
        <f>HLOOKUP(8,Bilanz!$Q$1:$R$8,8)</f>
        <v>8.1</v>
      </c>
      <c r="O283" s="226" t="str">
        <f ca="1">LEFT(P283,I$283)</f>
        <v/>
      </c>
      <c r="P283" s="230" t="str">
        <f ca="1">Bilanz!A3</f>
        <v>Hier STWEG-Namen eingeben: Bilanz per</v>
      </c>
      <c r="Q283" s="226"/>
      <c r="V283" s="172"/>
      <c r="W283" s="9"/>
      <c r="X283" s="9"/>
      <c r="Y283" s="9"/>
      <c r="Z283" s="9"/>
      <c r="AI283" s="46" t="str">
        <f t="shared" si="209"/>
        <v/>
      </c>
    </row>
    <row r="284" spans="1:72">
      <c r="B284" s="200" t="s">
        <v>234</v>
      </c>
      <c r="G284" s="196" t="s">
        <v>235</v>
      </c>
      <c r="H284" s="197">
        <f>IF(L283=82.1,1,0)</f>
        <v>1</v>
      </c>
      <c r="I284" s="200"/>
      <c r="J284" s="226" t="s">
        <v>236</v>
      </c>
      <c r="K284" s="226">
        <f ca="1">IF(AND(N284=8.1,OR(H$283=O284,M284=1)),1,0)</f>
        <v>1</v>
      </c>
      <c r="L284" s="227"/>
      <c r="M284" s="228">
        <f ca="1">IF(OR(Erfolgsrechnung!A3=Erfolgsrechnung!N7,Erfolgsrechnung!A3=Erfolgsrechnung!N8),1,0)</f>
        <v>0</v>
      </c>
      <c r="N284" s="229">
        <f>HLOOKUP(8,Erfolgsrechnung!S1:T8,8)</f>
        <v>8.1</v>
      </c>
      <c r="O284" s="226" t="str">
        <f ca="1">LEFT(P284,I$283)</f>
        <v/>
      </c>
      <c r="P284" s="226" t="str">
        <f ca="1">Erfolgsrechnung!A3</f>
        <v>Hier STWEG-Namen eingeben: Erfolgsrechnung für 20xx</v>
      </c>
      <c r="Q284" s="226"/>
      <c r="W284" s="12"/>
      <c r="X284" s="12"/>
      <c r="Y284" s="12"/>
      <c r="Z284" s="12"/>
      <c r="AI284" s="46" t="str">
        <f t="shared" si="209"/>
        <v/>
      </c>
    </row>
    <row r="285" spans="1:72">
      <c r="G285" s="196" t="s">
        <v>237</v>
      </c>
      <c r="H285" s="196">
        <v>0</v>
      </c>
      <c r="I285" s="200"/>
      <c r="J285" s="226" t="s">
        <v>238</v>
      </c>
      <c r="K285" s="226">
        <f ca="1">IF(AND(N285=8.1,OR(H$283=O285,M285=1)),1,0)</f>
        <v>1</v>
      </c>
      <c r="L285" s="227"/>
      <c r="M285" s="228">
        <f ca="1">IF(OR('ER und Budget'!A3='ER und Budget'!T7,'ER und Budget'!A3='ER und Budget'!T8),1,0)</f>
        <v>0</v>
      </c>
      <c r="N285" s="229">
        <f>HLOOKUP(8,'ER und Budget'!AA1:AB8,8)</f>
        <v>8.1</v>
      </c>
      <c r="O285" s="226" t="str">
        <f ca="1">LEFT(P285,I$283)</f>
        <v/>
      </c>
      <c r="P285" s="226" t="str">
        <f ca="1">'ER und Budget'!A3</f>
        <v xml:space="preserve">Hier STWEG-Namen eingeben: Erfolgsrechnung und Budget für </v>
      </c>
      <c r="Q285" s="226"/>
      <c r="W285" s="12"/>
      <c r="X285" s="12"/>
      <c r="Y285" s="12"/>
      <c r="Z285" s="12"/>
      <c r="AI285" s="46" t="str">
        <f t="shared" si="209"/>
        <v/>
      </c>
    </row>
    <row r="286" spans="1:72">
      <c r="G286" s="200"/>
      <c r="H286" s="200" t="s">
        <v>239</v>
      </c>
      <c r="I286" s="200"/>
      <c r="J286" s="200" t="s">
        <v>240</v>
      </c>
      <c r="K286" s="200">
        <f>IF(H$283=L286,1,0)</f>
        <v>1</v>
      </c>
      <c r="L286" s="200" t="str">
        <f>LEFT(M286,I$283)</f>
        <v/>
      </c>
      <c r="M286" s="200">
        <f>IF(OR(Kontoauszug!B4=Kontoauszug!AA9,Kontoauszug!B4=Kontoauszug!AA10,Kontoauszug!B4=Kontoauszug!AA11,Kontoauszug!B4=Kontoauszug!AA12),1,0)</f>
        <v>0</v>
      </c>
      <c r="N286" s="200"/>
      <c r="O286" s="200"/>
      <c r="P286" s="200"/>
      <c r="Q286" s="200"/>
      <c r="W286" s="12"/>
      <c r="X286" s="12"/>
      <c r="Y286" s="12"/>
      <c r="Z286" s="12"/>
      <c r="AI286" s="46" t="str">
        <f t="shared" si="209"/>
        <v/>
      </c>
    </row>
    <row r="287" spans="1:72">
      <c r="J287" s="82"/>
      <c r="K287" s="82"/>
      <c r="L287" s="82"/>
      <c r="M287" s="82"/>
      <c r="V287" s="172"/>
      <c r="W287" s="9"/>
      <c r="X287" s="9"/>
      <c r="Y287" s="9"/>
      <c r="Z287" s="9"/>
      <c r="AI287" s="46" t="str">
        <f t="shared" si="209"/>
        <v/>
      </c>
    </row>
    <row r="288" spans="1:72">
      <c r="W288" s="12"/>
      <c r="X288" s="12"/>
      <c r="Y288" s="12"/>
      <c r="Z288" s="12"/>
      <c r="AI288" s="46" t="str">
        <f t="shared" si="209"/>
        <v/>
      </c>
    </row>
    <row r="289" spans="2:35">
      <c r="B289" t="s">
        <v>241</v>
      </c>
      <c r="W289" s="12"/>
      <c r="X289" s="12"/>
      <c r="Y289" s="12"/>
      <c r="Z289" s="12"/>
      <c r="AI289" s="46" t="str">
        <f t="shared" si="209"/>
        <v/>
      </c>
    </row>
    <row r="290" spans="2:35">
      <c r="C290" t="s">
        <v>242</v>
      </c>
      <c r="W290" s="12"/>
      <c r="X290" s="12"/>
      <c r="Y290" s="12"/>
      <c r="Z290" s="12"/>
      <c r="AI290" s="46" t="str">
        <f t="shared" si="209"/>
        <v/>
      </c>
    </row>
    <row r="291" spans="2:35">
      <c r="C291" t="s">
        <v>243</v>
      </c>
      <c r="V291" s="172"/>
      <c r="W291" s="9"/>
      <c r="X291" s="9"/>
      <c r="Y291" s="9"/>
      <c r="Z291" s="9"/>
      <c r="AI291" s="46" t="str">
        <f t="shared" si="209"/>
        <v/>
      </c>
    </row>
    <row r="292" spans="2:35">
      <c r="C292" t="s">
        <v>244</v>
      </c>
      <c r="W292" s="12"/>
      <c r="X292" s="12"/>
      <c r="Y292" s="12"/>
      <c r="Z292" s="12"/>
      <c r="AI292" s="46" t="str">
        <f t="shared" si="209"/>
        <v/>
      </c>
    </row>
    <row r="293" spans="2:35">
      <c r="B293" t="s">
        <v>245</v>
      </c>
      <c r="W293" s="12"/>
      <c r="X293" s="12"/>
      <c r="Y293" s="12"/>
      <c r="Z293" s="12"/>
      <c r="AI293" s="46" t="str">
        <f t="shared" si="209"/>
        <v/>
      </c>
    </row>
    <row r="294" spans="2:35">
      <c r="C294" t="s">
        <v>246</v>
      </c>
      <c r="W294" s="12"/>
      <c r="X294" s="12"/>
      <c r="Y294" s="12"/>
      <c r="Z294" s="12"/>
      <c r="AI294" s="46" t="str">
        <f t="shared" si="209"/>
        <v/>
      </c>
    </row>
    <row r="295" spans="2:35">
      <c r="C295" t="s">
        <v>247</v>
      </c>
      <c r="AI295" s="46" t="str">
        <f t="shared" si="209"/>
        <v/>
      </c>
    </row>
    <row r="296" spans="2:35">
      <c r="C296" t="s">
        <v>248</v>
      </c>
      <c r="AI296" s="46" t="str">
        <f t="shared" si="209"/>
        <v/>
      </c>
    </row>
    <row r="297" spans="2:35">
      <c r="C297" t="s">
        <v>249</v>
      </c>
      <c r="AI297" s="46" t="str">
        <f t="shared" si="209"/>
        <v/>
      </c>
    </row>
    <row r="298" spans="2:35">
      <c r="C298" t="s">
        <v>250</v>
      </c>
      <c r="AI298" s="46" t="str">
        <f t="shared" si="209"/>
        <v/>
      </c>
    </row>
    <row r="299" spans="2:35">
      <c r="C299" t="s">
        <v>251</v>
      </c>
      <c r="AI299" s="46"/>
    </row>
    <row r="300" spans="2:35">
      <c r="C300" t="s">
        <v>252</v>
      </c>
      <c r="AI300" s="46"/>
    </row>
    <row r="301" spans="2:35">
      <c r="AI301" s="46"/>
    </row>
    <row r="302" spans="2:35">
      <c r="AI302" s="46"/>
    </row>
    <row r="303" spans="2:35">
      <c r="B303" t="s">
        <v>253</v>
      </c>
      <c r="AI303" s="46"/>
    </row>
    <row r="304" spans="2:35">
      <c r="C304" t="s">
        <v>254</v>
      </c>
      <c r="AI304" s="46"/>
    </row>
    <row r="305" spans="3:35">
      <c r="C305" t="s">
        <v>255</v>
      </c>
      <c r="AI305" s="46"/>
    </row>
    <row r="306" spans="3:35">
      <c r="AI306" s="46"/>
    </row>
    <row r="307" spans="3:35">
      <c r="AI307" s="46"/>
    </row>
    <row r="308" spans="3:35">
      <c r="AI308" s="46"/>
    </row>
    <row r="309" spans="3:35">
      <c r="AI309" s="46"/>
    </row>
  </sheetData>
  <sheetProtection password="8DFB" sheet="1" selectLockedCells="1" selectUnlockedCells="1"/>
  <mergeCells count="6">
    <mergeCell ref="D1:H2"/>
    <mergeCell ref="L5:M5"/>
    <mergeCell ref="D5:E5"/>
    <mergeCell ref="F5:G5"/>
    <mergeCell ref="H5:I5"/>
    <mergeCell ref="J5:K5"/>
  </mergeCells>
  <phoneticPr fontId="4" type="noConversion"/>
  <conditionalFormatting sqref="AN7:AN10">
    <cfRule type="cellIs" dxfId="151" priority="56" stopIfTrue="1" operator="equal">
      <formula>0</formula>
    </cfRule>
  </conditionalFormatting>
  <conditionalFormatting sqref="AJ7:AJ10">
    <cfRule type="cellIs" dxfId="150" priority="57" stopIfTrue="1" operator="equal">
      <formula>$K$279</formula>
    </cfRule>
  </conditionalFormatting>
  <conditionalFormatting sqref="AV7:AV10">
    <cfRule type="cellIs" dxfId="149" priority="58" stopIfTrue="1" operator="equal">
      <formula>0</formula>
    </cfRule>
    <cfRule type="cellIs" dxfId="148" priority="59" stopIfTrue="1" operator="equal">
      <formula>"Verlust"</formula>
    </cfRule>
  </conditionalFormatting>
  <conditionalFormatting sqref="AO7:AO10">
    <cfRule type="cellIs" dxfId="147" priority="60" stopIfTrue="1" operator="equal">
      <formula>"Gewinn"</formula>
    </cfRule>
  </conditionalFormatting>
  <conditionalFormatting sqref="AW7:AW10">
    <cfRule type="cellIs" dxfId="146" priority="61" stopIfTrue="1" operator="equal">
      <formula>"Verlust"</formula>
    </cfRule>
  </conditionalFormatting>
  <conditionalFormatting sqref="AB7:AB10 AD7:AD10">
    <cfRule type="cellIs" dxfId="145" priority="62" stopIfTrue="1" operator="equal">
      <formula>$J$281</formula>
    </cfRule>
  </conditionalFormatting>
  <conditionalFormatting sqref="AG7:AG10">
    <cfRule type="cellIs" dxfId="144" priority="63" stopIfTrue="1" operator="equal">
      <formula>"Gewinn"</formula>
    </cfRule>
    <cfRule type="cellIs" dxfId="143" priority="64" stopIfTrue="1" operator="equal">
      <formula>"Total"</formula>
    </cfRule>
  </conditionalFormatting>
  <conditionalFormatting sqref="AA7:AA10">
    <cfRule type="cellIs" dxfId="142" priority="65" stopIfTrue="1" operator="equal">
      <formula>"Total"</formula>
    </cfRule>
    <cfRule type="cellIs" dxfId="141" priority="66" stopIfTrue="1" operator="equal">
      <formula>"Verlust"</formula>
    </cfRule>
  </conditionalFormatting>
  <conditionalFormatting sqref="AN275">
    <cfRule type="cellIs" dxfId="140" priority="23" stopIfTrue="1" operator="equal">
      <formula>0</formula>
    </cfRule>
  </conditionalFormatting>
  <conditionalFormatting sqref="AJ275">
    <cfRule type="cellIs" dxfId="139" priority="24" stopIfTrue="1" operator="equal">
      <formula>$K$279</formula>
    </cfRule>
  </conditionalFormatting>
  <conditionalFormatting sqref="AV275">
    <cfRule type="cellIs" dxfId="138" priority="25" stopIfTrue="1" operator="equal">
      <formula>0</formula>
    </cfRule>
    <cfRule type="cellIs" dxfId="137" priority="26" stopIfTrue="1" operator="equal">
      <formula>"Verlust"</formula>
    </cfRule>
  </conditionalFormatting>
  <conditionalFormatting sqref="AO275">
    <cfRule type="cellIs" dxfId="136" priority="27" stopIfTrue="1" operator="equal">
      <formula>"Gewinn"</formula>
    </cfRule>
  </conditionalFormatting>
  <conditionalFormatting sqref="AW275">
    <cfRule type="cellIs" dxfId="135" priority="28" stopIfTrue="1" operator="equal">
      <formula>"Verlust"</formula>
    </cfRule>
  </conditionalFormatting>
  <conditionalFormatting sqref="AD275 AB275">
    <cfRule type="cellIs" dxfId="134" priority="29" stopIfTrue="1" operator="equal">
      <formula>$J$281</formula>
    </cfRule>
  </conditionalFormatting>
  <conditionalFormatting sqref="AG275">
    <cfRule type="cellIs" dxfId="133" priority="30" stopIfTrue="1" operator="equal">
      <formula>"Gewinn"</formula>
    </cfRule>
    <cfRule type="cellIs" dxfId="132" priority="31" stopIfTrue="1" operator="equal">
      <formula>"Total"</formula>
    </cfRule>
  </conditionalFormatting>
  <conditionalFormatting sqref="AA275">
    <cfRule type="cellIs" dxfId="131" priority="32" stopIfTrue="1" operator="equal">
      <formula>"Total"</formula>
    </cfRule>
    <cfRule type="cellIs" dxfId="130" priority="33" stopIfTrue="1" operator="equal">
      <formula>"Verlust"</formula>
    </cfRule>
  </conditionalFormatting>
  <conditionalFormatting sqref="AN11:AN274">
    <cfRule type="cellIs" dxfId="129" priority="1" stopIfTrue="1" operator="equal">
      <formula>0</formula>
    </cfRule>
  </conditionalFormatting>
  <conditionalFormatting sqref="AJ11:AJ274">
    <cfRule type="cellIs" dxfId="128" priority="2" stopIfTrue="1" operator="equal">
      <formula>$K$279</formula>
    </cfRule>
  </conditionalFormatting>
  <conditionalFormatting sqref="AV11:AV274">
    <cfRule type="cellIs" dxfId="127" priority="3" stopIfTrue="1" operator="equal">
      <formula>0</formula>
    </cfRule>
    <cfRule type="cellIs" dxfId="126" priority="4" stopIfTrue="1" operator="equal">
      <formula>"Verlust"</formula>
    </cfRule>
  </conditionalFormatting>
  <conditionalFormatting sqref="AO11:AO274">
    <cfRule type="cellIs" dxfId="125" priority="5" stopIfTrue="1" operator="equal">
      <formula>"Gewinn"</formula>
    </cfRule>
  </conditionalFormatting>
  <conditionalFormatting sqref="AW11:AW274">
    <cfRule type="cellIs" dxfId="124" priority="6" stopIfTrue="1" operator="equal">
      <formula>"Verlust"</formula>
    </cfRule>
  </conditionalFormatting>
  <conditionalFormatting sqref="AD11:AD274 AB11:AB274">
    <cfRule type="cellIs" dxfId="123" priority="7" stopIfTrue="1" operator="equal">
      <formula>$J$281</formula>
    </cfRule>
  </conditionalFormatting>
  <conditionalFormatting sqref="AG11:AG274">
    <cfRule type="cellIs" dxfId="122" priority="8" stopIfTrue="1" operator="equal">
      <formula>"Gewinn"</formula>
    </cfRule>
    <cfRule type="cellIs" dxfId="121" priority="9" stopIfTrue="1" operator="equal">
      <formula>"Total"</formula>
    </cfRule>
  </conditionalFormatting>
  <conditionalFormatting sqref="AA11:AA274">
    <cfRule type="cellIs" dxfId="120" priority="10" stopIfTrue="1" operator="equal">
      <formula>"Total"</formula>
    </cfRule>
    <cfRule type="cellIs" dxfId="119" priority="11" stopIfTrue="1" operator="equal">
      <formula>"Verlust"</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325"/>
  <sheetViews>
    <sheetView workbookViewId="0">
      <pane ySplit="5" topLeftCell="A6" activePane="bottomLeft" state="frozen"/>
      <selection pane="bottomLeft" activeCell="A2" sqref="A2"/>
    </sheetView>
  </sheetViews>
  <sheetFormatPr defaultColWidth="11.42578125" defaultRowHeight="12.75"/>
  <cols>
    <col min="1" max="1" width="17.7109375" customWidth="1"/>
    <col min="2" max="2" width="6.28515625" customWidth="1"/>
    <col min="3" max="3" width="21.28515625" customWidth="1"/>
    <col min="4" max="4" width="12.28515625" customWidth="1"/>
    <col min="5" max="5" width="13.140625" customWidth="1"/>
    <col min="6" max="6" width="17.7109375" customWidth="1"/>
    <col min="7" max="7" width="6.85546875" customWidth="1"/>
    <col min="8" max="8" width="21" customWidth="1"/>
    <col min="9" max="9" width="13" customWidth="1"/>
    <col min="10" max="10" width="13.5703125" customWidth="1"/>
    <col min="11" max="11" width="16.5703125" customWidth="1"/>
    <col min="12" max="27" width="0" hidden="1" customWidth="1"/>
    <col min="28" max="28" width="11.28515625" hidden="1" customWidth="1"/>
    <col min="29" max="29" width="8.42578125" customWidth="1"/>
    <col min="31" max="32" width="7.85546875" customWidth="1"/>
    <col min="34" max="34" width="12.28515625" customWidth="1"/>
    <col min="35" max="35" width="47.28515625" customWidth="1"/>
  </cols>
  <sheetData>
    <row r="1" spans="1:37" ht="77.25" customHeight="1">
      <c r="A1" s="285" t="str">
        <f ca="1">IF(C35&lt;&gt;"",M1,"Sollten in Spalten A und F Titel erscheinen, können auf diesen Zeilen die Formeln Ende des Geschäftsjahres in den Zellen der Spalten B und C sowie G und H gelöscht werden. So können die Spalten A und F platzsparend ausgedruckt werden.")</f>
        <v>Sollten in Spalten A und F Titel erscheinen, können auf diesen Zeilen die Formeln Ende des Geschäftsjahres in den Zellen der Spalten B und C sowie G und H gelöscht werden. So können die Spalten A und F platzsparend ausgedruckt werden.</v>
      </c>
      <c r="B1" s="285"/>
      <c r="C1" s="285"/>
      <c r="D1" s="285"/>
      <c r="E1" s="285"/>
      <c r="F1" s="285"/>
      <c r="G1" s="285"/>
      <c r="H1" s="286" t="s">
        <v>256</v>
      </c>
      <c r="I1" s="286"/>
      <c r="J1" s="94" t="s">
        <v>257</v>
      </c>
      <c r="L1" s="13"/>
      <c r="M1" s="180" t="s">
        <v>258</v>
      </c>
      <c r="Q1">
        <v>1</v>
      </c>
      <c r="R1">
        <v>1.1000000000000001</v>
      </c>
      <c r="AC1" s="274" t="str">
        <f ca="1">IF(Journal!L1="Status ok",Bilanz!M11,Bilanz!M10)</f>
        <v>Eröffnungsbuchungen für Folgegeschäftsjahr
- Auf Feld AC6 können Sie die Belegnr. für alle verändern (Beleg ist ausgedruckte Bilanz dieser Seite). In Feld AD6 können Sie das Datum verändern. Buchungssätze wenn nötig, erst nach Übertrag in neues Geschäftsjahr verändern.
- Folgende Buchungssätze im gelben Bereich können mittels Copy und 'Werte einfügen' (Start, Dreieck unterhalb Schaltfläche 'Einfügen' wählen und dann Schaltfläche mit Zahlen 123 wählen) ins Journal des folgenden Geschäftsjahr übertragen werden. Voraussetzung dafür ist, dass derselbe Kontenplan wie dieser Datei verwendet wird.</v>
      </c>
      <c r="AD1" s="275"/>
      <c r="AE1" s="275"/>
      <c r="AF1" s="275"/>
      <c r="AG1" s="275"/>
      <c r="AH1" s="275"/>
      <c r="AI1" s="275"/>
    </row>
    <row r="2" spans="1:37" ht="28.5" customHeight="1">
      <c r="J2" s="82" t="str">
        <f ca="1">Calc!P1</f>
        <v>Status ok</v>
      </c>
      <c r="L2" s="13"/>
      <c r="M2" s="13"/>
      <c r="Q2">
        <v>2</v>
      </c>
      <c r="R2">
        <f t="shared" ref="R2:R8" si="0">R1+1</f>
        <v>2.1</v>
      </c>
      <c r="AC2" s="278" t="s">
        <v>259</v>
      </c>
      <c r="AD2" s="277"/>
      <c r="AE2" s="184">
        <v>9999</v>
      </c>
      <c r="AG2" s="276" t="s">
        <v>260</v>
      </c>
      <c r="AH2" s="277"/>
      <c r="AI2" s="184">
        <v>2800</v>
      </c>
      <c r="AK2" s="200"/>
    </row>
    <row r="3" spans="1:37" ht="31.5" customHeight="1">
      <c r="A3" s="281" t="str">
        <f ca="1">IF(Calc!J2="",M7,IF(J2&lt;&gt;"Status ok",M8,CONCATENATE(Journal!D1,": Bilanz per")))</f>
        <v>Hier STWEG-Namen eingeben: Bilanz per</v>
      </c>
      <c r="B3" s="281"/>
      <c r="C3" s="281"/>
      <c r="D3" s="281"/>
      <c r="E3" s="281"/>
      <c r="F3" s="281"/>
      <c r="G3" s="281"/>
      <c r="H3" s="68" t="str">
        <f ca="1">IF(J2&lt;&gt;"Status ok","",IF(J1="",TODAY(),J1))</f>
        <v>TT.MM.JJJJ</v>
      </c>
      <c r="I3" s="69"/>
      <c r="J3" s="69"/>
      <c r="L3" s="13"/>
      <c r="M3" s="13"/>
      <c r="Q3">
        <v>3</v>
      </c>
      <c r="R3">
        <f t="shared" si="0"/>
        <v>3.1</v>
      </c>
      <c r="S3" s="183" t="s">
        <v>261</v>
      </c>
      <c r="T3" s="183"/>
      <c r="U3" s="183"/>
      <c r="V3" s="183"/>
      <c r="W3" s="183"/>
      <c r="X3" s="183"/>
      <c r="AC3" s="263" t="s">
        <v>176</v>
      </c>
      <c r="AD3" s="279" t="s">
        <v>177</v>
      </c>
      <c r="AE3" s="267" t="s">
        <v>178</v>
      </c>
      <c r="AF3" s="267"/>
      <c r="AG3" s="231" t="s">
        <v>179</v>
      </c>
      <c r="AH3" s="279" t="s">
        <v>180</v>
      </c>
      <c r="AI3" s="279" t="s">
        <v>181</v>
      </c>
    </row>
    <row r="4" spans="1:37" ht="15">
      <c r="A4" s="282" t="s">
        <v>221</v>
      </c>
      <c r="B4" s="282"/>
      <c r="C4" s="282"/>
      <c r="D4" s="282"/>
      <c r="E4" s="283"/>
      <c r="F4" s="284" t="s">
        <v>222</v>
      </c>
      <c r="G4" s="282"/>
      <c r="H4" s="282"/>
      <c r="I4" s="282"/>
      <c r="J4" s="282"/>
      <c r="K4" s="12"/>
      <c r="L4" s="13"/>
      <c r="M4" s="13"/>
      <c r="Q4">
        <v>4</v>
      </c>
      <c r="R4">
        <f t="shared" si="0"/>
        <v>4.0999999999999996</v>
      </c>
      <c r="S4" s="200" t="s">
        <v>262</v>
      </c>
      <c r="U4">
        <f ca="1">SUM(S6:S325)</f>
        <v>2</v>
      </c>
      <c r="W4" t="str">
        <f ca="1">IF(Calc!H280&lt;&gt;0,"Verlust","Gewinn")</f>
        <v>Gewinn</v>
      </c>
      <c r="X4">
        <f ca="1">IF(W4="Verlust",Calc!H280,Calc!I280)</f>
        <v>0</v>
      </c>
      <c r="AC4" s="264"/>
      <c r="AD4" s="280"/>
      <c r="AE4" s="214" t="s">
        <v>186</v>
      </c>
      <c r="AF4" s="214" t="s">
        <v>187</v>
      </c>
      <c r="AG4" s="232" t="s">
        <v>188</v>
      </c>
      <c r="AH4" s="280"/>
      <c r="AI4" s="280"/>
    </row>
    <row r="5" spans="1:37" ht="4.5" customHeight="1">
      <c r="A5" s="70"/>
      <c r="B5" s="70"/>
      <c r="C5" s="70"/>
      <c r="D5" s="70"/>
      <c r="E5" s="71"/>
      <c r="F5" s="72"/>
      <c r="G5" s="70"/>
      <c r="H5" s="70"/>
      <c r="I5" s="70"/>
      <c r="J5" s="70"/>
      <c r="L5" s="13"/>
      <c r="M5" s="13"/>
      <c r="Q5">
        <v>5</v>
      </c>
      <c r="R5">
        <f t="shared" si="0"/>
        <v>5.0999999999999996</v>
      </c>
    </row>
    <row r="6" spans="1:37" ht="15">
      <c r="A6" s="73" t="str">
        <f>IF(Calc!AM7&lt;&gt;"",Calc!AM7,"")</f>
        <v>Umlaufvermögen</v>
      </c>
      <c r="B6" s="74">
        <f>IF(Calc!AN7&lt;&gt;"",Calc!AN7,"")</f>
        <v>0</v>
      </c>
      <c r="C6" s="74" t="str">
        <f ca="1">IF(Calc!AO7&lt;&gt;"",Calc!AO7,"")</f>
        <v/>
      </c>
      <c r="D6" s="75">
        <f ca="1">IF(Calc!AP7&lt;&gt;"",Calc!AP7,"")</f>
        <v>0</v>
      </c>
      <c r="E6" s="77" t="str">
        <f ca="1">IF(Calc!AQ7&lt;&gt;"",Calc!AQ7,"")</f>
        <v/>
      </c>
      <c r="F6" s="79" t="str">
        <f>Calc!AU7</f>
        <v>Fremdkapital</v>
      </c>
      <c r="G6" s="74">
        <f>Calc!AV7</f>
        <v>0</v>
      </c>
      <c r="H6" s="74" t="str">
        <f ca="1">Calc!AW7</f>
        <v/>
      </c>
      <c r="I6" s="75">
        <f ca="1">Calc!AX7</f>
        <v>0</v>
      </c>
      <c r="J6" s="76" t="str">
        <f ca="1">Calc!AY7</f>
        <v/>
      </c>
      <c r="L6" s="78"/>
      <c r="M6" s="153" t="s">
        <v>263</v>
      </c>
      <c r="Q6">
        <v>6</v>
      </c>
      <c r="R6">
        <f t="shared" si="0"/>
        <v>6.1</v>
      </c>
      <c r="S6">
        <f>IF(B6=0,0,1)</f>
        <v>0</v>
      </c>
      <c r="T6">
        <f>IF(S6=0,T5+0.0001,ROUND(1+T5,0))</f>
        <v>1E-4</v>
      </c>
      <c r="U6" s="200" t="s">
        <v>264</v>
      </c>
      <c r="V6">
        <f>IF(S6&lt;&gt;0,B6,0)</f>
        <v>0</v>
      </c>
      <c r="W6">
        <f ca="1">IF(S6&lt;&gt;0,C6,0)</f>
        <v>0</v>
      </c>
      <c r="X6">
        <f ca="1">IF(S6&lt;&gt;0,D6,0)</f>
        <v>0</v>
      </c>
      <c r="AB6">
        <v>0</v>
      </c>
      <c r="AC6" s="17">
        <f ca="1">IF(AB6&gt;$U$4,"",1)</f>
        <v>1</v>
      </c>
      <c r="AD6" s="18">
        <f ca="1">IF(AB6&gt;$U$4,"",Journal!E7+365)</f>
        <v>46023</v>
      </c>
      <c r="AE6" s="191">
        <f ca="1">IF(W4="Verlust",AI2,AE2)</f>
        <v>9999</v>
      </c>
      <c r="AF6" s="191">
        <f ca="1">IF(W4="Verlust",AE2,AI2)</f>
        <v>2800</v>
      </c>
      <c r="AG6" s="191"/>
      <c r="AH6" s="192">
        <f ca="1">X4</f>
        <v>0</v>
      </c>
      <c r="AI6" s="233" t="str">
        <f ca="1">CONCATENATE("Verbuchung ",W4," Vorjahr")</f>
        <v>Verbuchung Gewinn Vorjahr</v>
      </c>
    </row>
    <row r="7" spans="1:37" ht="15">
      <c r="A7" s="73" t="str">
        <f>IF(Calc!AM8&lt;&gt;"",Calc!AM8,"")</f>
        <v>liquide Mittel</v>
      </c>
      <c r="B7" s="74">
        <f>IF(Calc!AN8&lt;&gt;"",Calc!AN8,"")</f>
        <v>0</v>
      </c>
      <c r="C7" s="74" t="str">
        <f ca="1">IF(Calc!AO8&lt;&gt;"",Calc!AO8,"")</f>
        <v/>
      </c>
      <c r="D7" s="75">
        <f ca="1">IF(Calc!AP8&lt;&gt;"",Calc!AP8,"")</f>
        <v>0</v>
      </c>
      <c r="E7" s="77" t="str">
        <f ca="1">IF(Calc!AQ8&lt;&gt;"",Calc!AQ8,"")</f>
        <v/>
      </c>
      <c r="F7" s="79">
        <f>Calc!AU8</f>
        <v>0</v>
      </c>
      <c r="G7" s="74">
        <f>Calc!AV8</f>
        <v>2000</v>
      </c>
      <c r="H7" s="74" t="str">
        <f ca="1">Calc!AW8</f>
        <v>Kreditoren</v>
      </c>
      <c r="I7" s="75">
        <f ca="1">Calc!AX8</f>
        <v>0</v>
      </c>
      <c r="J7" s="76" t="str">
        <f ca="1">Calc!AY8</f>
        <v/>
      </c>
      <c r="L7" s="78"/>
      <c r="M7" s="200" t="s">
        <v>265</v>
      </c>
      <c r="Q7">
        <v>7</v>
      </c>
      <c r="R7">
        <f t="shared" si="0"/>
        <v>7.1</v>
      </c>
      <c r="S7">
        <f>IF(B7=0,0,1)</f>
        <v>0</v>
      </c>
      <c r="T7">
        <f>IF(S7=0,T6+0.0001,ROUND(1+T6,0))</f>
        <v>2.0000000000000001E-4</v>
      </c>
      <c r="U7" s="200" t="s">
        <v>264</v>
      </c>
      <c r="V7">
        <f>IF(S7&lt;&gt;0,B7,0)</f>
        <v>0</v>
      </c>
      <c r="W7">
        <f ca="1">IF(S7&lt;&gt;0,C7,0)</f>
        <v>0</v>
      </c>
      <c r="X7">
        <f ca="1">IF(S7&lt;&gt;0,D7,0)</f>
        <v>0</v>
      </c>
      <c r="AB7">
        <v>1</v>
      </c>
      <c r="AC7" s="189">
        <f ca="1">IF(AB7&gt;$U$4,"",AC6)</f>
        <v>1</v>
      </c>
      <c r="AD7" s="190">
        <f ca="1">IF(AB7&gt;$U$4,"",AD6)</f>
        <v>46023</v>
      </c>
      <c r="AE7" s="191">
        <f t="shared" ref="AE7:AE70" ca="1" si="1">IF(AB7&gt;$U$4,"",IF(VLOOKUP(AB7,$T$6:$U$325,2)="a",VLOOKUP(AB7,$T$6:$V$325,3),$AE$2))</f>
        <v>1000</v>
      </c>
      <c r="AF7" s="191">
        <f t="shared" ref="AF7:AF70" ca="1" si="2">IF(AB7&gt;$U$4,"",IF(VLOOKUP(AB7,$T$6:$U$325,2)="p",VLOOKUP(AB7,$T$6:$V$325,3),$AE$2))</f>
        <v>9999</v>
      </c>
      <c r="AG7" s="191"/>
      <c r="AH7" s="192">
        <f ca="1">VLOOKUP(AB7,$T$6:$X$325,5)</f>
        <v>40</v>
      </c>
      <c r="AI7" s="233" t="str">
        <f ca="1">IF(AB7&gt;$U$4,"",CONCATENATE("Eröffnung: ",VLOOKUP(AB7,$T$6:$X$325,4)))</f>
        <v>Eröffnung: Kasse</v>
      </c>
    </row>
    <row r="8" spans="1:37" ht="15">
      <c r="A8" s="73">
        <f>IF(Calc!AM9&lt;&gt;"",Calc!AM9,"")</f>
        <v>0</v>
      </c>
      <c r="B8" s="74">
        <f>IF(Calc!AN9&lt;&gt;"",Calc!AN9,"")</f>
        <v>1000</v>
      </c>
      <c r="C8" s="74" t="str">
        <f ca="1">IF(Calc!AO9&lt;&gt;"",Calc!AO9,"")</f>
        <v>Kasse</v>
      </c>
      <c r="D8" s="75">
        <f ca="1">IF(Calc!AP9&lt;&gt;"",Calc!AP9,"")</f>
        <v>40</v>
      </c>
      <c r="E8" s="77" t="str">
        <f ca="1">IF(Calc!AQ9&lt;&gt;"",Calc!AQ9,"")</f>
        <v/>
      </c>
      <c r="F8" s="79">
        <f>Calc!AU9</f>
        <v>0</v>
      </c>
      <c r="G8" s="74">
        <f>Calc!AV9</f>
        <v>2300</v>
      </c>
      <c r="H8" s="74" t="str">
        <f ca="1">Calc!AW9</f>
        <v>Transitorische Passiven</v>
      </c>
      <c r="I8" s="75">
        <f ca="1">Calc!AX9</f>
        <v>0</v>
      </c>
      <c r="J8" s="76" t="str">
        <f ca="1">Calc!AY9</f>
        <v/>
      </c>
      <c r="L8" s="78"/>
      <c r="M8" s="200" t="s">
        <v>266</v>
      </c>
      <c r="Q8">
        <v>8</v>
      </c>
      <c r="R8">
        <f t="shared" si="0"/>
        <v>8.1</v>
      </c>
      <c r="S8">
        <f ca="1">IF(OR(B8=0,D8=0),0,1)</f>
        <v>1</v>
      </c>
      <c r="T8">
        <f ca="1">IF(S8=0,T7+0.0001,ROUND(1+T7,0))</f>
        <v>1</v>
      </c>
      <c r="U8" s="200" t="s">
        <v>264</v>
      </c>
      <c r="V8">
        <f ca="1">IF(S8&lt;&gt;0,B8,0)</f>
        <v>1000</v>
      </c>
      <c r="W8" t="str">
        <f ca="1">IF(S8&lt;&gt;0,C8,0)</f>
        <v>Kasse</v>
      </c>
      <c r="X8">
        <f ca="1">IF(S8&lt;&gt;0,D8,0)</f>
        <v>40</v>
      </c>
      <c r="AB8">
        <f t="shared" ref="AB8:AB71" si="3">AB7+1</f>
        <v>2</v>
      </c>
      <c r="AC8" s="189">
        <f t="shared" ref="AC8:AC71" ca="1" si="4">IF(AB8&gt;$U$4,"",AC7)</f>
        <v>1</v>
      </c>
      <c r="AD8" s="190">
        <f t="shared" ref="AD8:AD71" ca="1" si="5">IF(AB8&gt;$U$4,"",AD7)</f>
        <v>46023</v>
      </c>
      <c r="AE8" s="191">
        <f t="shared" ca="1" si="1"/>
        <v>1010</v>
      </c>
      <c r="AF8" s="191">
        <f t="shared" ca="1" si="2"/>
        <v>9999</v>
      </c>
      <c r="AG8" s="191"/>
      <c r="AH8" s="192">
        <f t="shared" ref="AH8:AH71" ca="1" si="6">VLOOKUP(AB8,$T$6:$X$325,5)</f>
        <v>-40</v>
      </c>
      <c r="AI8" s="233" t="str">
        <f ca="1">IF(AB8&gt;$U$4,"",CONCATENATE("Eröffnung: ",VLOOKUP(AB8,$T$6:$X$325,4)))</f>
        <v>Eröffnung: Postkonto</v>
      </c>
    </row>
    <row r="9" spans="1:37" ht="15">
      <c r="A9" s="73">
        <f>IF(Calc!AM10&lt;&gt;"",Calc!AM10,"")</f>
        <v>0</v>
      </c>
      <c r="B9" s="74">
        <f>IF(Calc!AN10&lt;&gt;"",Calc!AN10,"")</f>
        <v>1010</v>
      </c>
      <c r="C9" s="74" t="str">
        <f ca="1">IF(Calc!AO10&lt;&gt;"",Calc!AO10,"")</f>
        <v>Postkonto</v>
      </c>
      <c r="D9" s="75">
        <f ca="1">IF(Calc!AP10&lt;&gt;"",Calc!AP10,"")</f>
        <v>-40</v>
      </c>
      <c r="E9" s="77" t="str">
        <f ca="1">IF(Calc!AQ10&lt;&gt;"",Calc!AQ10,"")</f>
        <v/>
      </c>
      <c r="F9" s="79">
        <f>Calc!AU10</f>
        <v>0</v>
      </c>
      <c r="G9" s="74">
        <f>Calc!AV10</f>
        <v>2500</v>
      </c>
      <c r="H9" s="74" t="str">
        <f ca="1">Calc!AW10</f>
        <v>Darlehen</v>
      </c>
      <c r="I9" s="75">
        <f ca="1">Calc!AX10</f>
        <v>0</v>
      </c>
      <c r="J9" s="76" t="str">
        <f ca="1">Calc!AY10</f>
        <v/>
      </c>
      <c r="L9" s="78"/>
      <c r="M9" s="200" t="str">
        <f ca="1">A3</f>
        <v>Hier STWEG-Namen eingeben: Bilanz per</v>
      </c>
      <c r="N9" s="152"/>
      <c r="S9">
        <f t="shared" ref="S9:S72" ca="1" si="7">IF(OR(B9=0,D9=0),0,1)</f>
        <v>1</v>
      </c>
      <c r="T9">
        <f t="shared" ref="T9:T72" ca="1" si="8">IF(S9=0,T8+0.0001,ROUND(1+T8,0))</f>
        <v>2</v>
      </c>
      <c r="U9" s="200" t="s">
        <v>264</v>
      </c>
      <c r="V9">
        <f t="shared" ref="V9:V72" ca="1" si="9">IF(S9&lt;&gt;0,B9,0)</f>
        <v>1010</v>
      </c>
      <c r="W9" t="str">
        <f t="shared" ref="W9:W72" ca="1" si="10">IF(S9&lt;&gt;0,C9,0)</f>
        <v>Postkonto</v>
      </c>
      <c r="X9">
        <f t="shared" ref="X9:X72" ca="1" si="11">IF(S9&lt;&gt;0,D9,0)</f>
        <v>-40</v>
      </c>
      <c r="AB9">
        <f t="shared" si="3"/>
        <v>3</v>
      </c>
      <c r="AC9" s="189" t="str">
        <f t="shared" ca="1" si="4"/>
        <v/>
      </c>
      <c r="AD9" s="190" t="str">
        <f t="shared" ca="1" si="5"/>
        <v/>
      </c>
      <c r="AE9" s="191" t="str">
        <f t="shared" ca="1" si="1"/>
        <v/>
      </c>
      <c r="AF9" s="191" t="str">
        <f t="shared" ca="1" si="2"/>
        <v/>
      </c>
      <c r="AG9" s="191"/>
      <c r="AH9" s="192">
        <f t="shared" ca="1" si="6"/>
        <v>0</v>
      </c>
      <c r="AI9" s="233" t="str">
        <f t="shared" ref="AI9:AI71" ca="1" si="12">IF(AB9&gt;$U$4,"",CONCATENATE("Eröffnung: ",VLOOKUP(AB9,$T$6:$X$325,4)))</f>
        <v/>
      </c>
    </row>
    <row r="10" spans="1:37" ht="15">
      <c r="A10" s="73">
        <f>IF(Calc!AM11&lt;&gt;"",Calc!AM11,"")</f>
        <v>0</v>
      </c>
      <c r="B10" s="74">
        <f>IF(Calc!AN11&lt;&gt;"",Calc!AN11,"")</f>
        <v>1020</v>
      </c>
      <c r="C10" s="74" t="str">
        <f ca="1">IF(Calc!AO11&lt;&gt;"",Calc!AO11,"")</f>
        <v>Bankkonto</v>
      </c>
      <c r="D10" s="75">
        <f ca="1">IF(Calc!AP11&lt;&gt;"",Calc!AP11,"")</f>
        <v>0</v>
      </c>
      <c r="E10" s="77" t="str">
        <f ca="1">IF(Calc!AQ11&lt;&gt;"",Calc!AQ11,"")</f>
        <v/>
      </c>
      <c r="F10" s="79">
        <f>Calc!AU11</f>
        <v>0</v>
      </c>
      <c r="G10" s="74">
        <f>Calc!AV11</f>
        <v>2600</v>
      </c>
      <c r="H10" s="74" t="str">
        <f ca="1">Calc!AW11</f>
        <v>Rückstellungen Erneuerungsfonds</v>
      </c>
      <c r="I10" s="75">
        <f ca="1">Calc!AX11</f>
        <v>0</v>
      </c>
      <c r="J10" s="76">
        <f ca="1">Calc!AY11</f>
        <v>0</v>
      </c>
      <c r="L10" s="78"/>
      <c r="M10" s="200" t="s">
        <v>267</v>
      </c>
      <c r="S10">
        <f t="shared" ca="1" si="7"/>
        <v>0</v>
      </c>
      <c r="T10">
        <f t="shared" ca="1" si="8"/>
        <v>2.0001000000000002</v>
      </c>
      <c r="U10" s="200" t="s">
        <v>264</v>
      </c>
      <c r="V10">
        <f t="shared" ca="1" si="9"/>
        <v>0</v>
      </c>
      <c r="W10">
        <f t="shared" ca="1" si="10"/>
        <v>0</v>
      </c>
      <c r="X10">
        <f t="shared" ca="1" si="11"/>
        <v>0</v>
      </c>
      <c r="AB10">
        <f t="shared" si="3"/>
        <v>4</v>
      </c>
      <c r="AC10" s="189" t="str">
        <f t="shared" ca="1" si="4"/>
        <v/>
      </c>
      <c r="AD10" s="190" t="str">
        <f t="shared" ca="1" si="5"/>
        <v/>
      </c>
      <c r="AE10" s="191" t="str">
        <f t="shared" ca="1" si="1"/>
        <v/>
      </c>
      <c r="AF10" s="191" t="str">
        <f t="shared" ca="1" si="2"/>
        <v/>
      </c>
      <c r="AG10" s="191"/>
      <c r="AH10" s="192">
        <f t="shared" ca="1" si="6"/>
        <v>0</v>
      </c>
      <c r="AI10" s="233" t="str">
        <f t="shared" ca="1" si="12"/>
        <v/>
      </c>
    </row>
    <row r="11" spans="1:37" ht="15" customHeight="1">
      <c r="A11" s="73">
        <f>IF(Calc!AM12&lt;&gt;"",Calc!AM12,"")</f>
        <v>0</v>
      </c>
      <c r="B11" s="74">
        <f>IF(Calc!AN12&lt;&gt;"",Calc!AN12,"")</f>
        <v>1030</v>
      </c>
      <c r="C11" s="74" t="str">
        <f ca="1">IF(Calc!AO12&lt;&gt;"",Calc!AO12,"")</f>
        <v>(Spar-)Konto Erneuerungsfonds</v>
      </c>
      <c r="D11" s="75">
        <f ca="1">IF(Calc!AP12&lt;&gt;"",Calc!AP12,"")</f>
        <v>0</v>
      </c>
      <c r="E11" s="77">
        <f ca="1">IF(Calc!AQ12&lt;&gt;"",Calc!AQ12,"")</f>
        <v>0</v>
      </c>
      <c r="F11" s="79" t="str">
        <f>Calc!AU12</f>
        <v>Eigenkapital</v>
      </c>
      <c r="G11" s="74">
        <f>Calc!AV12</f>
        <v>0</v>
      </c>
      <c r="H11" s="74" t="str">
        <f ca="1">Calc!AW12</f>
        <v/>
      </c>
      <c r="I11" s="75">
        <f ca="1">Calc!AX12</f>
        <v>0</v>
      </c>
      <c r="J11" s="76" t="str">
        <f ca="1">Calc!AY12</f>
        <v/>
      </c>
      <c r="L11" s="78"/>
      <c r="M11" s="205" t="s">
        <v>268</v>
      </c>
      <c r="S11">
        <f t="shared" ca="1" si="7"/>
        <v>0</v>
      </c>
      <c r="T11">
        <f t="shared" ca="1" si="8"/>
        <v>2.0002000000000004</v>
      </c>
      <c r="U11" s="200" t="s">
        <v>264</v>
      </c>
      <c r="V11">
        <f t="shared" ca="1" si="9"/>
        <v>0</v>
      </c>
      <c r="W11">
        <f t="shared" ca="1" si="10"/>
        <v>0</v>
      </c>
      <c r="X11">
        <f t="shared" ca="1" si="11"/>
        <v>0</v>
      </c>
      <c r="AB11">
        <f t="shared" si="3"/>
        <v>5</v>
      </c>
      <c r="AC11" s="189" t="str">
        <f t="shared" ca="1" si="4"/>
        <v/>
      </c>
      <c r="AD11" s="190" t="str">
        <f t="shared" ca="1" si="5"/>
        <v/>
      </c>
      <c r="AE11" s="191" t="str">
        <f t="shared" ca="1" si="1"/>
        <v/>
      </c>
      <c r="AF11" s="191" t="str">
        <f t="shared" ca="1" si="2"/>
        <v/>
      </c>
      <c r="AG11" s="191"/>
      <c r="AH11" s="192">
        <f t="shared" ca="1" si="6"/>
        <v>0</v>
      </c>
      <c r="AI11" s="233" t="str">
        <f t="shared" ca="1" si="12"/>
        <v/>
      </c>
    </row>
    <row r="12" spans="1:37" ht="15">
      <c r="A12" s="73" t="str">
        <f>IF(Calc!AM13&lt;&gt;"",Calc!AM13,"")</f>
        <v>Forderungen</v>
      </c>
      <c r="B12" s="74">
        <f>IF(Calc!AN13&lt;&gt;"",Calc!AN13,"")</f>
        <v>0</v>
      </c>
      <c r="C12" s="74" t="str">
        <f ca="1">IF(Calc!AO13&lt;&gt;"",Calc!AO13,"")</f>
        <v/>
      </c>
      <c r="D12" s="75">
        <f ca="1">IF(Calc!AP13&lt;&gt;"",Calc!AP13,"")</f>
        <v>0</v>
      </c>
      <c r="E12" s="77" t="str">
        <f ca="1">IF(Calc!AQ13&lt;&gt;"",Calc!AQ13,"")</f>
        <v/>
      </c>
      <c r="F12" s="79">
        <f>Calc!AU13</f>
        <v>0</v>
      </c>
      <c r="G12" s="74">
        <f>Calc!AV13</f>
        <v>2800</v>
      </c>
      <c r="H12" s="74" t="str">
        <f ca="1">Calc!AW13</f>
        <v>Kumulierte Gewinne/Kapital</v>
      </c>
      <c r="I12" s="75">
        <f ca="1">Calc!AX13</f>
        <v>0</v>
      </c>
      <c r="J12" s="76" t="str">
        <f ca="1">Calc!AY13</f>
        <v/>
      </c>
      <c r="L12" s="78"/>
      <c r="M12" s="78"/>
      <c r="S12">
        <f t="shared" ca="1" si="7"/>
        <v>0</v>
      </c>
      <c r="T12">
        <f t="shared" ca="1" si="8"/>
        <v>2.0003000000000006</v>
      </c>
      <c r="U12" s="200" t="s">
        <v>264</v>
      </c>
      <c r="V12">
        <f t="shared" ca="1" si="9"/>
        <v>0</v>
      </c>
      <c r="W12">
        <f t="shared" ca="1" si="10"/>
        <v>0</v>
      </c>
      <c r="X12">
        <f t="shared" ca="1" si="11"/>
        <v>0</v>
      </c>
      <c r="AB12">
        <f t="shared" si="3"/>
        <v>6</v>
      </c>
      <c r="AC12" s="189" t="str">
        <f t="shared" ca="1" si="4"/>
        <v/>
      </c>
      <c r="AD12" s="190" t="str">
        <f t="shared" ca="1" si="5"/>
        <v/>
      </c>
      <c r="AE12" s="191" t="str">
        <f t="shared" ca="1" si="1"/>
        <v/>
      </c>
      <c r="AF12" s="191" t="str">
        <f t="shared" ca="1" si="2"/>
        <v/>
      </c>
      <c r="AG12" s="191"/>
      <c r="AH12" s="192">
        <f t="shared" ca="1" si="6"/>
        <v>0</v>
      </c>
      <c r="AI12" s="233" t="str">
        <f t="shared" ca="1" si="12"/>
        <v/>
      </c>
    </row>
    <row r="13" spans="1:37" ht="15">
      <c r="A13" s="73">
        <f>IF(Calc!AM14&lt;&gt;"",Calc!AM14,"")</f>
        <v>0</v>
      </c>
      <c r="B13" s="74">
        <f>IF(Calc!AN14&lt;&gt;"",Calc!AN14,"")</f>
        <v>1100</v>
      </c>
      <c r="C13" s="74" t="str">
        <f ca="1">IF(Calc!AO14&lt;&gt;"",Calc!AO14,"")</f>
        <v>Debitoren allgemein</v>
      </c>
      <c r="D13" s="75">
        <f ca="1">IF(Calc!AP14&lt;&gt;"",Calc!AP14,"")</f>
        <v>0</v>
      </c>
      <c r="E13" s="77" t="str">
        <f ca="1">IF(Calc!AQ14&lt;&gt;"",Calc!AQ14,"")</f>
        <v/>
      </c>
      <c r="F13" s="79">
        <f>Calc!AU14</f>
        <v>0</v>
      </c>
      <c r="G13" s="74">
        <f>Calc!AV14</f>
        <v>2900</v>
      </c>
      <c r="H13" s="74" t="str">
        <f ca="1">Calc!AW14</f>
        <v>Reserven</v>
      </c>
      <c r="I13" s="75">
        <f ca="1">Calc!AX14</f>
        <v>0</v>
      </c>
      <c r="J13" s="76" t="str">
        <f ca="1">Calc!AY14</f>
        <v/>
      </c>
      <c r="L13" s="78"/>
      <c r="M13" s="78"/>
      <c r="S13">
        <f t="shared" ca="1" si="7"/>
        <v>0</v>
      </c>
      <c r="T13">
        <f t="shared" ca="1" si="8"/>
        <v>2.0004000000000008</v>
      </c>
      <c r="U13" s="200" t="s">
        <v>264</v>
      </c>
      <c r="V13">
        <f t="shared" ca="1" si="9"/>
        <v>0</v>
      </c>
      <c r="W13">
        <f t="shared" ca="1" si="10"/>
        <v>0</v>
      </c>
      <c r="X13">
        <f t="shared" ca="1" si="11"/>
        <v>0</v>
      </c>
      <c r="AB13">
        <f t="shared" si="3"/>
        <v>7</v>
      </c>
      <c r="AC13" s="189" t="str">
        <f t="shared" ca="1" si="4"/>
        <v/>
      </c>
      <c r="AD13" s="190" t="str">
        <f t="shared" ca="1" si="5"/>
        <v/>
      </c>
      <c r="AE13" s="191" t="str">
        <f t="shared" ca="1" si="1"/>
        <v/>
      </c>
      <c r="AF13" s="191" t="str">
        <f t="shared" ca="1" si="2"/>
        <v/>
      </c>
      <c r="AG13" s="191"/>
      <c r="AH13" s="192">
        <f t="shared" ca="1" si="6"/>
        <v>0</v>
      </c>
      <c r="AI13" s="233" t="str">
        <f t="shared" ca="1" si="12"/>
        <v/>
      </c>
    </row>
    <row r="14" spans="1:37" ht="15">
      <c r="A14" s="73">
        <f>IF(Calc!AM15&lt;&gt;"",Calc!AM15,"")</f>
        <v>0</v>
      </c>
      <c r="B14" s="74">
        <f>IF(Calc!AN15&lt;&gt;"",Calc!AN15,"")</f>
        <v>1200</v>
      </c>
      <c r="C14" s="74" t="str">
        <f ca="1">IF(Calc!AO15&lt;&gt;"",Calc!AO15,"")</f>
        <v>Debitoren Stockwerkeigentümer</v>
      </c>
      <c r="D14" s="75">
        <f ca="1">IF(Calc!AP15&lt;&gt;"",Calc!AP15,"")</f>
        <v>0</v>
      </c>
      <c r="E14" s="77" t="str">
        <f ca="1">IF(Calc!AQ15&lt;&gt;"",Calc!AQ15,"")</f>
        <v/>
      </c>
      <c r="F14" s="79">
        <f>Calc!AU15</f>
        <v>0</v>
      </c>
      <c r="G14" s="74">
        <f>Calc!AV15</f>
        <v>2990</v>
      </c>
      <c r="H14" s="74" t="str">
        <f ca="1">Calc!AW15</f>
        <v>Gewinnvortrag / Verlustvortrag</v>
      </c>
      <c r="I14" s="75">
        <f ca="1">Calc!AX15</f>
        <v>0</v>
      </c>
      <c r="J14" s="76">
        <f ca="1">Calc!AY15</f>
        <v>0</v>
      </c>
      <c r="L14" s="78"/>
      <c r="M14" s="78"/>
      <c r="S14">
        <f t="shared" ca="1" si="7"/>
        <v>0</v>
      </c>
      <c r="T14">
        <f t="shared" ca="1" si="8"/>
        <v>2.0005000000000011</v>
      </c>
      <c r="U14" s="200" t="s">
        <v>264</v>
      </c>
      <c r="V14">
        <f t="shared" ca="1" si="9"/>
        <v>0</v>
      </c>
      <c r="W14">
        <f t="shared" ca="1" si="10"/>
        <v>0</v>
      </c>
      <c r="X14">
        <f t="shared" ca="1" si="11"/>
        <v>0</v>
      </c>
      <c r="AB14">
        <f t="shared" si="3"/>
        <v>8</v>
      </c>
      <c r="AC14" s="189" t="str">
        <f t="shared" ca="1" si="4"/>
        <v/>
      </c>
      <c r="AD14" s="190" t="str">
        <f t="shared" ca="1" si="5"/>
        <v/>
      </c>
      <c r="AE14" s="191" t="str">
        <f t="shared" ca="1" si="1"/>
        <v/>
      </c>
      <c r="AF14" s="191" t="str">
        <f t="shared" ca="1" si="2"/>
        <v/>
      </c>
      <c r="AG14" s="191"/>
      <c r="AH14" s="192">
        <f t="shared" ca="1" si="6"/>
        <v>0</v>
      </c>
      <c r="AI14" s="233" t="str">
        <f t="shared" ca="1" si="12"/>
        <v/>
      </c>
    </row>
    <row r="15" spans="1:37" ht="15">
      <c r="A15" s="73">
        <f>IF(Calc!AM16&lt;&gt;"",Calc!AM16,"")</f>
        <v>0</v>
      </c>
      <c r="B15" s="74">
        <f>IF(Calc!AN16&lt;&gt;"",Calc!AN16,"")</f>
        <v>1300</v>
      </c>
      <c r="C15" s="74" t="str">
        <f ca="1">IF(Calc!AO16&lt;&gt;"",Calc!AO16,"")</f>
        <v>Transitorische Aktiven</v>
      </c>
      <c r="D15" s="75">
        <f ca="1">IF(Calc!AP16&lt;&gt;"",Calc!AP16,"")</f>
        <v>0</v>
      </c>
      <c r="E15" s="77">
        <f ca="1">IF(Calc!AQ16&lt;&gt;"",Calc!AQ16,"")</f>
        <v>0</v>
      </c>
      <c r="F15" s="79" t="str">
        <f>Calc!AU16</f>
        <v/>
      </c>
      <c r="G15" s="74">
        <f>Calc!AV16</f>
        <v>0</v>
      </c>
      <c r="H15" s="74" t="str">
        <f ca="1">Calc!AW16</f>
        <v/>
      </c>
      <c r="I15" s="75">
        <f ca="1">Calc!AX16</f>
        <v>0</v>
      </c>
      <c r="J15" s="76" t="str">
        <f ca="1">Calc!AY16</f>
        <v/>
      </c>
      <c r="L15" s="78"/>
      <c r="M15" s="78"/>
      <c r="S15">
        <f t="shared" ca="1" si="7"/>
        <v>0</v>
      </c>
      <c r="T15">
        <f t="shared" ca="1" si="8"/>
        <v>2.0006000000000013</v>
      </c>
      <c r="U15" s="200" t="s">
        <v>264</v>
      </c>
      <c r="V15">
        <f t="shared" ca="1" si="9"/>
        <v>0</v>
      </c>
      <c r="W15">
        <f t="shared" ca="1" si="10"/>
        <v>0</v>
      </c>
      <c r="X15">
        <f t="shared" ca="1" si="11"/>
        <v>0</v>
      </c>
      <c r="AB15">
        <f t="shared" si="3"/>
        <v>9</v>
      </c>
      <c r="AC15" s="189" t="str">
        <f t="shared" ca="1" si="4"/>
        <v/>
      </c>
      <c r="AD15" s="190" t="str">
        <f t="shared" ca="1" si="5"/>
        <v/>
      </c>
      <c r="AE15" s="191" t="str">
        <f t="shared" ca="1" si="1"/>
        <v/>
      </c>
      <c r="AF15" s="191" t="str">
        <f t="shared" ca="1" si="2"/>
        <v/>
      </c>
      <c r="AG15" s="191"/>
      <c r="AH15" s="192">
        <f t="shared" ca="1" si="6"/>
        <v>0</v>
      </c>
      <c r="AI15" s="233" t="str">
        <f t="shared" ca="1" si="12"/>
        <v/>
      </c>
    </row>
    <row r="16" spans="1:37" ht="15">
      <c r="A16" s="73" t="str">
        <f>IF(Calc!AM17&lt;&gt;"",Calc!AM17,"")</f>
        <v/>
      </c>
      <c r="B16" s="74">
        <f>IF(Calc!AN17&lt;&gt;"",Calc!AN17,"")</f>
        <v>0</v>
      </c>
      <c r="C16" s="74" t="str">
        <f ca="1">IF(Calc!AO17&lt;&gt;"",Calc!AO17,"")</f>
        <v>Gewinn</v>
      </c>
      <c r="D16" s="75">
        <f ca="1">IF(Calc!AP17&lt;&gt;"",Calc!AP17,"")</f>
        <v>0</v>
      </c>
      <c r="E16" s="77" t="str">
        <f ca="1">IF(Calc!AQ17&lt;&gt;"",Calc!AQ17,"")</f>
        <v/>
      </c>
      <c r="F16" s="79" t="str">
        <f>Calc!AU17</f>
        <v/>
      </c>
      <c r="G16" s="74">
        <f>Calc!AV17</f>
        <v>0</v>
      </c>
      <c r="H16" s="74" t="str">
        <f ca="1">Calc!AW17</f>
        <v>Gewinn</v>
      </c>
      <c r="I16" s="75">
        <f ca="1">Calc!AX17</f>
        <v>0</v>
      </c>
      <c r="J16" s="76">
        <f ca="1">Calc!AY17</f>
        <v>0</v>
      </c>
      <c r="L16" s="78"/>
      <c r="M16" s="78"/>
      <c r="S16">
        <f t="shared" ca="1" si="7"/>
        <v>0</v>
      </c>
      <c r="T16">
        <f t="shared" ca="1" si="8"/>
        <v>2.0007000000000015</v>
      </c>
      <c r="U16" s="200" t="s">
        <v>264</v>
      </c>
      <c r="V16">
        <f t="shared" ca="1" si="9"/>
        <v>0</v>
      </c>
      <c r="W16">
        <f t="shared" ca="1" si="10"/>
        <v>0</v>
      </c>
      <c r="X16">
        <f t="shared" ca="1" si="11"/>
        <v>0</v>
      </c>
      <c r="AB16">
        <f t="shared" si="3"/>
        <v>10</v>
      </c>
      <c r="AC16" s="189" t="str">
        <f t="shared" ca="1" si="4"/>
        <v/>
      </c>
      <c r="AD16" s="190" t="str">
        <f t="shared" ca="1" si="5"/>
        <v/>
      </c>
      <c r="AE16" s="191" t="str">
        <f t="shared" ca="1" si="1"/>
        <v/>
      </c>
      <c r="AF16" s="191" t="str">
        <f t="shared" ca="1" si="2"/>
        <v/>
      </c>
      <c r="AG16" s="191"/>
      <c r="AH16" s="192">
        <f t="shared" ca="1" si="6"/>
        <v>0</v>
      </c>
      <c r="AI16" s="233" t="str">
        <f t="shared" ca="1" si="12"/>
        <v/>
      </c>
    </row>
    <row r="17" spans="1:35" ht="15">
      <c r="A17" s="73" t="str">
        <f>IF(Calc!AM18&lt;&gt;"",Calc!AM18,"")</f>
        <v/>
      </c>
      <c r="B17" s="74">
        <f>IF(Calc!AN18&lt;&gt;"",Calc!AN18,"")</f>
        <v>0</v>
      </c>
      <c r="C17" s="74" t="str">
        <f ca="1">IF(Calc!AO18&lt;&gt;"",Calc!AO18,"")</f>
        <v>Total</v>
      </c>
      <c r="D17" s="75" t="str">
        <f ca="1">IF(Calc!AP18&lt;&gt;"",Calc!AP18,"")</f>
        <v>c</v>
      </c>
      <c r="E17" s="77">
        <f ca="1">IF(Calc!AQ18&lt;&gt;"",Calc!AQ18,"")</f>
        <v>0</v>
      </c>
      <c r="F17" s="79" t="str">
        <f>Calc!AU18</f>
        <v/>
      </c>
      <c r="G17" s="74">
        <f>Calc!AV18</f>
        <v>0</v>
      </c>
      <c r="H17" s="74" t="str">
        <f ca="1">Calc!AW18</f>
        <v>Total</v>
      </c>
      <c r="I17" s="75" t="str">
        <f ca="1">Calc!AX18</f>
        <v>c</v>
      </c>
      <c r="J17" s="76">
        <f ca="1">Calc!AY18</f>
        <v>0</v>
      </c>
      <c r="L17" s="78"/>
      <c r="M17" s="78"/>
      <c r="S17">
        <f t="shared" ca="1" si="7"/>
        <v>0</v>
      </c>
      <c r="T17">
        <f t="shared" ca="1" si="8"/>
        <v>2.0008000000000017</v>
      </c>
      <c r="U17" s="200" t="s">
        <v>264</v>
      </c>
      <c r="V17">
        <f t="shared" ca="1" si="9"/>
        <v>0</v>
      </c>
      <c r="W17">
        <f t="shared" ca="1" si="10"/>
        <v>0</v>
      </c>
      <c r="X17">
        <f t="shared" ca="1" si="11"/>
        <v>0</v>
      </c>
      <c r="AB17">
        <f t="shared" si="3"/>
        <v>11</v>
      </c>
      <c r="AC17" s="189" t="str">
        <f t="shared" ca="1" si="4"/>
        <v/>
      </c>
      <c r="AD17" s="190" t="str">
        <f t="shared" ca="1" si="5"/>
        <v/>
      </c>
      <c r="AE17" s="191" t="str">
        <f t="shared" ca="1" si="1"/>
        <v/>
      </c>
      <c r="AF17" s="191" t="str">
        <f t="shared" ca="1" si="2"/>
        <v/>
      </c>
      <c r="AG17" s="191"/>
      <c r="AH17" s="192">
        <f t="shared" ca="1" si="6"/>
        <v>0</v>
      </c>
      <c r="AI17" s="233" t="str">
        <f t="shared" ca="1" si="12"/>
        <v/>
      </c>
    </row>
    <row r="18" spans="1:35" ht="15">
      <c r="A18" s="73" t="str">
        <f>IF(Calc!AM19&lt;&gt;"",Calc!AM19,"")</f>
        <v/>
      </c>
      <c r="B18" s="74">
        <f>IF(Calc!AN19&lt;&gt;"",Calc!AN19,"")</f>
        <v>0</v>
      </c>
      <c r="C18" s="74" t="str">
        <f ca="1">IF(Calc!AO19&lt;&gt;"",Calc!AO19,"")</f>
        <v/>
      </c>
      <c r="D18" s="75" t="str">
        <f ca="1">IF(Calc!AP19&lt;&gt;"",Calc!AP19,"")</f>
        <v/>
      </c>
      <c r="E18" s="77" t="str">
        <f ca="1">IF(Calc!AQ19&lt;&gt;"",Calc!AQ19,"")</f>
        <v/>
      </c>
      <c r="F18" s="79" t="str">
        <f>Calc!AU19</f>
        <v/>
      </c>
      <c r="G18" s="74">
        <f>Calc!AV19</f>
        <v>0</v>
      </c>
      <c r="H18" s="74" t="str">
        <f ca="1">Calc!AW19</f>
        <v/>
      </c>
      <c r="I18" s="75" t="str">
        <f ca="1">Calc!AX19</f>
        <v/>
      </c>
      <c r="J18" s="76" t="str">
        <f ca="1">Calc!AY19</f>
        <v/>
      </c>
      <c r="L18" s="78"/>
      <c r="M18" s="78"/>
      <c r="S18">
        <f t="shared" ca="1" si="7"/>
        <v>0</v>
      </c>
      <c r="T18">
        <f t="shared" ca="1" si="8"/>
        <v>2.0009000000000019</v>
      </c>
      <c r="U18" s="200" t="s">
        <v>264</v>
      </c>
      <c r="V18">
        <f t="shared" ca="1" si="9"/>
        <v>0</v>
      </c>
      <c r="W18">
        <f t="shared" ca="1" si="10"/>
        <v>0</v>
      </c>
      <c r="X18">
        <f t="shared" ca="1" si="11"/>
        <v>0</v>
      </c>
      <c r="AB18">
        <f t="shared" si="3"/>
        <v>12</v>
      </c>
      <c r="AC18" s="189" t="str">
        <f t="shared" ca="1" si="4"/>
        <v/>
      </c>
      <c r="AD18" s="190" t="str">
        <f t="shared" ca="1" si="5"/>
        <v/>
      </c>
      <c r="AE18" s="191" t="str">
        <f t="shared" ca="1" si="1"/>
        <v/>
      </c>
      <c r="AF18" s="191" t="str">
        <f t="shared" ca="1" si="2"/>
        <v/>
      </c>
      <c r="AG18" s="191"/>
      <c r="AH18" s="192">
        <f t="shared" ca="1" si="6"/>
        <v>0</v>
      </c>
      <c r="AI18" s="233" t="str">
        <f t="shared" ca="1" si="12"/>
        <v/>
      </c>
    </row>
    <row r="19" spans="1:35" ht="15">
      <c r="A19" s="73" t="str">
        <f>IF(Calc!AM20&lt;&gt;"",Calc!AM20,"")</f>
        <v/>
      </c>
      <c r="B19" s="74">
        <f>IF(Calc!AN20&lt;&gt;"",Calc!AN20,"")</f>
        <v>0</v>
      </c>
      <c r="C19" s="74" t="str">
        <f ca="1">IF(Calc!AO20&lt;&gt;"",Calc!AO20,"")</f>
        <v/>
      </c>
      <c r="D19" s="75" t="str">
        <f ca="1">IF(Calc!AP20&lt;&gt;"",Calc!AP20,"")</f>
        <v/>
      </c>
      <c r="E19" s="77" t="str">
        <f ca="1">IF(Calc!AQ20&lt;&gt;"",Calc!AQ20,"")</f>
        <v/>
      </c>
      <c r="F19" s="79" t="str">
        <f>Calc!AU20</f>
        <v/>
      </c>
      <c r="G19" s="74">
        <f>Calc!AV20</f>
        <v>0</v>
      </c>
      <c r="H19" s="74" t="str">
        <f ca="1">Calc!AW20</f>
        <v/>
      </c>
      <c r="I19" s="75" t="str">
        <f ca="1">Calc!AX20</f>
        <v/>
      </c>
      <c r="J19" s="76" t="str">
        <f ca="1">Calc!AY20</f>
        <v/>
      </c>
      <c r="L19" s="78"/>
      <c r="M19" s="78"/>
      <c r="S19">
        <f t="shared" ca="1" si="7"/>
        <v>0</v>
      </c>
      <c r="T19">
        <f t="shared" ca="1" si="8"/>
        <v>2.0010000000000021</v>
      </c>
      <c r="U19" s="200" t="s">
        <v>264</v>
      </c>
      <c r="V19">
        <f t="shared" ca="1" si="9"/>
        <v>0</v>
      </c>
      <c r="W19">
        <f t="shared" ca="1" si="10"/>
        <v>0</v>
      </c>
      <c r="X19">
        <f t="shared" ca="1" si="11"/>
        <v>0</v>
      </c>
      <c r="AB19">
        <f t="shared" si="3"/>
        <v>13</v>
      </c>
      <c r="AC19" s="189" t="str">
        <f t="shared" ca="1" si="4"/>
        <v/>
      </c>
      <c r="AD19" s="190" t="str">
        <f t="shared" ca="1" si="5"/>
        <v/>
      </c>
      <c r="AE19" s="191" t="str">
        <f t="shared" ca="1" si="1"/>
        <v/>
      </c>
      <c r="AF19" s="191" t="str">
        <f t="shared" ca="1" si="2"/>
        <v/>
      </c>
      <c r="AG19" s="191"/>
      <c r="AH19" s="192">
        <f t="shared" ca="1" si="6"/>
        <v>0</v>
      </c>
      <c r="AI19" s="233" t="str">
        <f t="shared" ca="1" si="12"/>
        <v/>
      </c>
    </row>
    <row r="20" spans="1:35" ht="15">
      <c r="A20" s="73" t="str">
        <f>IF(Calc!AM21&lt;&gt;"",Calc!AM21,"")</f>
        <v/>
      </c>
      <c r="B20" s="74">
        <f>IF(Calc!AN21&lt;&gt;"",Calc!AN21,"")</f>
        <v>0</v>
      </c>
      <c r="C20" s="74" t="str">
        <f ca="1">IF(Calc!AO21&lt;&gt;"",Calc!AO21,"")</f>
        <v/>
      </c>
      <c r="D20" s="75" t="str">
        <f ca="1">IF(Calc!AP21&lt;&gt;"",Calc!AP21,"")</f>
        <v/>
      </c>
      <c r="E20" s="77" t="str">
        <f ca="1">IF(Calc!AQ21&lt;&gt;"",Calc!AQ21,"")</f>
        <v/>
      </c>
      <c r="F20" s="79" t="str">
        <f>Calc!AU21</f>
        <v/>
      </c>
      <c r="G20" s="74">
        <f>Calc!AV21</f>
        <v>0</v>
      </c>
      <c r="H20" s="74" t="str">
        <f ca="1">Calc!AW21</f>
        <v/>
      </c>
      <c r="I20" s="75" t="str">
        <f ca="1">Calc!AX21</f>
        <v/>
      </c>
      <c r="J20" s="76" t="str">
        <f ca="1">Calc!AY21</f>
        <v/>
      </c>
      <c r="L20" s="78"/>
      <c r="M20" s="78"/>
      <c r="S20">
        <f t="shared" ca="1" si="7"/>
        <v>0</v>
      </c>
      <c r="T20">
        <f t="shared" ca="1" si="8"/>
        <v>2.0011000000000023</v>
      </c>
      <c r="U20" s="200" t="s">
        <v>264</v>
      </c>
      <c r="V20">
        <f t="shared" ca="1" si="9"/>
        <v>0</v>
      </c>
      <c r="W20">
        <f t="shared" ca="1" si="10"/>
        <v>0</v>
      </c>
      <c r="X20">
        <f t="shared" ca="1" si="11"/>
        <v>0</v>
      </c>
      <c r="AB20">
        <f t="shared" si="3"/>
        <v>14</v>
      </c>
      <c r="AC20" s="189" t="str">
        <f t="shared" ca="1" si="4"/>
        <v/>
      </c>
      <c r="AD20" s="190" t="str">
        <f t="shared" ca="1" si="5"/>
        <v/>
      </c>
      <c r="AE20" s="191" t="str">
        <f t="shared" ca="1" si="1"/>
        <v/>
      </c>
      <c r="AF20" s="191" t="str">
        <f t="shared" ca="1" si="2"/>
        <v/>
      </c>
      <c r="AG20" s="191"/>
      <c r="AH20" s="192">
        <f t="shared" ca="1" si="6"/>
        <v>0</v>
      </c>
      <c r="AI20" s="233" t="str">
        <f t="shared" ca="1" si="12"/>
        <v/>
      </c>
    </row>
    <row r="21" spans="1:35" ht="15">
      <c r="A21" s="73" t="str">
        <f>IF(Calc!AM22&lt;&gt;"",Calc!AM22,"")</f>
        <v/>
      </c>
      <c r="B21" s="74">
        <f>IF(Calc!AN22&lt;&gt;"",Calc!AN22,"")</f>
        <v>0</v>
      </c>
      <c r="C21" s="74" t="str">
        <f ca="1">IF(Calc!AO22&lt;&gt;"",Calc!AO22,"")</f>
        <v/>
      </c>
      <c r="D21" s="75" t="str">
        <f ca="1">IF(Calc!AP22&lt;&gt;"",Calc!AP22,"")</f>
        <v/>
      </c>
      <c r="E21" s="77" t="str">
        <f ca="1">IF(Calc!AQ22&lt;&gt;"",Calc!AQ22,"")</f>
        <v/>
      </c>
      <c r="F21" s="79" t="str">
        <f>Calc!AU22</f>
        <v/>
      </c>
      <c r="G21" s="74">
        <f>Calc!AV22</f>
        <v>0</v>
      </c>
      <c r="H21" s="74" t="str">
        <f ca="1">Calc!AW22</f>
        <v/>
      </c>
      <c r="I21" s="75" t="str">
        <f ca="1">Calc!AX22</f>
        <v/>
      </c>
      <c r="J21" s="76" t="str">
        <f ca="1">Calc!AY22</f>
        <v/>
      </c>
      <c r="L21" s="78"/>
      <c r="M21" s="78"/>
      <c r="S21">
        <f t="shared" ca="1" si="7"/>
        <v>0</v>
      </c>
      <c r="T21">
        <f t="shared" ca="1" si="8"/>
        <v>2.0012000000000025</v>
      </c>
      <c r="U21" s="200" t="s">
        <v>264</v>
      </c>
      <c r="V21">
        <f t="shared" ca="1" si="9"/>
        <v>0</v>
      </c>
      <c r="W21">
        <f t="shared" ca="1" si="10"/>
        <v>0</v>
      </c>
      <c r="X21">
        <f t="shared" ca="1" si="11"/>
        <v>0</v>
      </c>
      <c r="AB21">
        <f t="shared" si="3"/>
        <v>15</v>
      </c>
      <c r="AC21" s="189" t="str">
        <f t="shared" ca="1" si="4"/>
        <v/>
      </c>
      <c r="AD21" s="190" t="str">
        <f t="shared" ca="1" si="5"/>
        <v/>
      </c>
      <c r="AE21" s="191" t="str">
        <f t="shared" ca="1" si="1"/>
        <v/>
      </c>
      <c r="AF21" s="191" t="str">
        <f t="shared" ca="1" si="2"/>
        <v/>
      </c>
      <c r="AG21" s="191"/>
      <c r="AH21" s="192">
        <f t="shared" ca="1" si="6"/>
        <v>0</v>
      </c>
      <c r="AI21" s="233" t="str">
        <f t="shared" ca="1" si="12"/>
        <v/>
      </c>
    </row>
    <row r="22" spans="1:35" ht="15">
      <c r="A22" s="73" t="str">
        <f>IF(Calc!AM23&lt;&gt;"",Calc!AM23,"")</f>
        <v/>
      </c>
      <c r="B22" s="74">
        <f>IF(Calc!AN23&lt;&gt;"",Calc!AN23,"")</f>
        <v>0</v>
      </c>
      <c r="C22" s="74" t="str">
        <f ca="1">IF(Calc!AO23&lt;&gt;"",Calc!AO23,"")</f>
        <v/>
      </c>
      <c r="D22" s="75" t="str">
        <f ca="1">IF(Calc!AP23&lt;&gt;"",Calc!AP23,"")</f>
        <v/>
      </c>
      <c r="E22" s="77" t="str">
        <f ca="1">IF(Calc!AQ23&lt;&gt;"",Calc!AQ23,"")</f>
        <v/>
      </c>
      <c r="F22" s="79" t="str">
        <f>Calc!AU23</f>
        <v/>
      </c>
      <c r="G22" s="74">
        <f>Calc!AV23</f>
        <v>0</v>
      </c>
      <c r="H22" s="74" t="str">
        <f ca="1">Calc!AW23</f>
        <v/>
      </c>
      <c r="I22" s="75" t="str">
        <f ca="1">Calc!AX23</f>
        <v/>
      </c>
      <c r="J22" s="76" t="str">
        <f ca="1">Calc!AY23</f>
        <v/>
      </c>
      <c r="L22" s="78"/>
      <c r="M22" s="78"/>
      <c r="S22">
        <f t="shared" ca="1" si="7"/>
        <v>0</v>
      </c>
      <c r="T22">
        <f t="shared" ca="1" si="8"/>
        <v>2.0013000000000027</v>
      </c>
      <c r="U22" s="200" t="s">
        <v>264</v>
      </c>
      <c r="V22">
        <f t="shared" ca="1" si="9"/>
        <v>0</v>
      </c>
      <c r="W22">
        <f t="shared" ca="1" si="10"/>
        <v>0</v>
      </c>
      <c r="X22">
        <f t="shared" ca="1" si="11"/>
        <v>0</v>
      </c>
      <c r="AB22">
        <f t="shared" si="3"/>
        <v>16</v>
      </c>
      <c r="AC22" s="189" t="str">
        <f t="shared" ca="1" si="4"/>
        <v/>
      </c>
      <c r="AD22" s="190" t="str">
        <f t="shared" ca="1" si="5"/>
        <v/>
      </c>
      <c r="AE22" s="191" t="str">
        <f t="shared" ca="1" si="1"/>
        <v/>
      </c>
      <c r="AF22" s="191" t="str">
        <f t="shared" ca="1" si="2"/>
        <v/>
      </c>
      <c r="AG22" s="191"/>
      <c r="AH22" s="192">
        <f t="shared" ca="1" si="6"/>
        <v>0</v>
      </c>
      <c r="AI22" s="233" t="str">
        <f t="shared" ca="1" si="12"/>
        <v/>
      </c>
    </row>
    <row r="23" spans="1:35" ht="15">
      <c r="A23" s="73" t="str">
        <f>IF(Calc!AM24&lt;&gt;"",Calc!AM24,"")</f>
        <v/>
      </c>
      <c r="B23" s="74">
        <f>IF(Calc!AN24&lt;&gt;"",Calc!AN24,"")</f>
        <v>0</v>
      </c>
      <c r="C23" s="74" t="str">
        <f ca="1">IF(Calc!AO24&lt;&gt;"",Calc!AO24,"")</f>
        <v/>
      </c>
      <c r="D23" s="75" t="str">
        <f ca="1">IF(Calc!AP24&lt;&gt;"",Calc!AP24,"")</f>
        <v/>
      </c>
      <c r="E23" s="77" t="str">
        <f ca="1">IF(Calc!AQ24&lt;&gt;"",Calc!AQ24,"")</f>
        <v/>
      </c>
      <c r="F23" s="79" t="str">
        <f>Calc!AU24</f>
        <v/>
      </c>
      <c r="G23" s="74">
        <f>Calc!AV24</f>
        <v>0</v>
      </c>
      <c r="H23" s="74" t="str">
        <f ca="1">Calc!AW24</f>
        <v/>
      </c>
      <c r="I23" s="75" t="str">
        <f ca="1">Calc!AX24</f>
        <v/>
      </c>
      <c r="J23" s="76" t="str">
        <f ca="1">Calc!AY24</f>
        <v/>
      </c>
      <c r="L23" s="78"/>
      <c r="M23" s="78"/>
      <c r="S23">
        <f t="shared" ca="1" si="7"/>
        <v>0</v>
      </c>
      <c r="T23">
        <f t="shared" ca="1" si="8"/>
        <v>2.001400000000003</v>
      </c>
      <c r="U23" s="200" t="s">
        <v>264</v>
      </c>
      <c r="V23">
        <f t="shared" ca="1" si="9"/>
        <v>0</v>
      </c>
      <c r="W23">
        <f t="shared" ca="1" si="10"/>
        <v>0</v>
      </c>
      <c r="X23">
        <f t="shared" ca="1" si="11"/>
        <v>0</v>
      </c>
      <c r="AB23">
        <f t="shared" si="3"/>
        <v>17</v>
      </c>
      <c r="AC23" s="189" t="str">
        <f t="shared" ca="1" si="4"/>
        <v/>
      </c>
      <c r="AD23" s="190" t="str">
        <f t="shared" ca="1" si="5"/>
        <v/>
      </c>
      <c r="AE23" s="191" t="str">
        <f t="shared" ca="1" si="1"/>
        <v/>
      </c>
      <c r="AF23" s="191" t="str">
        <f t="shared" ca="1" si="2"/>
        <v/>
      </c>
      <c r="AG23" s="191"/>
      <c r="AH23" s="192">
        <f t="shared" ca="1" si="6"/>
        <v>0</v>
      </c>
      <c r="AI23" s="233" t="str">
        <f t="shared" ca="1" si="12"/>
        <v/>
      </c>
    </row>
    <row r="24" spans="1:35" ht="15">
      <c r="A24" s="73" t="str">
        <f>IF(Calc!AM25&lt;&gt;"",Calc!AM25,"")</f>
        <v/>
      </c>
      <c r="B24" s="74">
        <f>IF(Calc!AN25&lt;&gt;"",Calc!AN25,"")</f>
        <v>0</v>
      </c>
      <c r="C24" s="74" t="str">
        <f ca="1">IF(Calc!AO25&lt;&gt;"",Calc!AO25,"")</f>
        <v/>
      </c>
      <c r="D24" s="75" t="str">
        <f ca="1">IF(Calc!AP25&lt;&gt;"",Calc!AP25,"")</f>
        <v/>
      </c>
      <c r="E24" s="77" t="str">
        <f ca="1">IF(Calc!AQ25&lt;&gt;"",Calc!AQ25,"")</f>
        <v/>
      </c>
      <c r="F24" s="79" t="str">
        <f>Calc!AU25</f>
        <v/>
      </c>
      <c r="G24" s="74">
        <f>Calc!AV25</f>
        <v>0</v>
      </c>
      <c r="H24" s="74" t="str">
        <f ca="1">Calc!AW25</f>
        <v/>
      </c>
      <c r="I24" s="75" t="str">
        <f ca="1">Calc!AX25</f>
        <v/>
      </c>
      <c r="J24" s="76" t="str">
        <f ca="1">Calc!AY25</f>
        <v/>
      </c>
      <c r="L24" s="78"/>
      <c r="M24" s="78"/>
      <c r="S24">
        <f t="shared" ca="1" si="7"/>
        <v>0</v>
      </c>
      <c r="T24">
        <f t="shared" ca="1" si="8"/>
        <v>2.0015000000000032</v>
      </c>
      <c r="U24" s="200" t="s">
        <v>264</v>
      </c>
      <c r="V24">
        <f t="shared" ca="1" si="9"/>
        <v>0</v>
      </c>
      <c r="W24">
        <f t="shared" ca="1" si="10"/>
        <v>0</v>
      </c>
      <c r="X24">
        <f t="shared" ca="1" si="11"/>
        <v>0</v>
      </c>
      <c r="AB24">
        <f t="shared" si="3"/>
        <v>18</v>
      </c>
      <c r="AC24" s="189" t="str">
        <f t="shared" ca="1" si="4"/>
        <v/>
      </c>
      <c r="AD24" s="190" t="str">
        <f t="shared" ca="1" si="5"/>
        <v/>
      </c>
      <c r="AE24" s="191" t="str">
        <f t="shared" ca="1" si="1"/>
        <v/>
      </c>
      <c r="AF24" s="191" t="str">
        <f t="shared" ca="1" si="2"/>
        <v/>
      </c>
      <c r="AG24" s="191"/>
      <c r="AH24" s="192">
        <f t="shared" ca="1" si="6"/>
        <v>0</v>
      </c>
      <c r="AI24" s="233" t="str">
        <f t="shared" ca="1" si="12"/>
        <v/>
      </c>
    </row>
    <row r="25" spans="1:35" ht="15">
      <c r="A25" s="73" t="str">
        <f>IF(Calc!AM26&lt;&gt;"",Calc!AM26,"")</f>
        <v/>
      </c>
      <c r="B25" s="74">
        <f>IF(Calc!AN26&lt;&gt;"",Calc!AN26,"")</f>
        <v>0</v>
      </c>
      <c r="C25" s="74" t="str">
        <f ca="1">IF(Calc!AO26&lt;&gt;"",Calc!AO26,"")</f>
        <v/>
      </c>
      <c r="D25" s="75" t="str">
        <f ca="1">IF(Calc!AP26&lt;&gt;"",Calc!AP26,"")</f>
        <v/>
      </c>
      <c r="E25" s="77" t="str">
        <f ca="1">IF(Calc!AQ26&lt;&gt;"",Calc!AQ26,"")</f>
        <v/>
      </c>
      <c r="F25" s="79" t="str">
        <f>Calc!AU26</f>
        <v/>
      </c>
      <c r="G25" s="74">
        <f>Calc!AV26</f>
        <v>0</v>
      </c>
      <c r="H25" s="74" t="str">
        <f ca="1">Calc!AW26</f>
        <v/>
      </c>
      <c r="I25" s="75" t="str">
        <f ca="1">Calc!AX26</f>
        <v/>
      </c>
      <c r="J25" s="76" t="str">
        <f ca="1">Calc!AY26</f>
        <v/>
      </c>
      <c r="L25" s="78"/>
      <c r="M25" s="78"/>
      <c r="S25">
        <f t="shared" ca="1" si="7"/>
        <v>0</v>
      </c>
      <c r="T25">
        <f t="shared" ca="1" si="8"/>
        <v>2.0016000000000034</v>
      </c>
      <c r="U25" s="200" t="s">
        <v>264</v>
      </c>
      <c r="V25">
        <f t="shared" ca="1" si="9"/>
        <v>0</v>
      </c>
      <c r="W25">
        <f t="shared" ca="1" si="10"/>
        <v>0</v>
      </c>
      <c r="X25">
        <f t="shared" ca="1" si="11"/>
        <v>0</v>
      </c>
      <c r="AB25">
        <f t="shared" si="3"/>
        <v>19</v>
      </c>
      <c r="AC25" s="189" t="str">
        <f t="shared" ca="1" si="4"/>
        <v/>
      </c>
      <c r="AD25" s="190" t="str">
        <f t="shared" ca="1" si="5"/>
        <v/>
      </c>
      <c r="AE25" s="191" t="str">
        <f t="shared" ca="1" si="1"/>
        <v/>
      </c>
      <c r="AF25" s="191" t="str">
        <f t="shared" ca="1" si="2"/>
        <v/>
      </c>
      <c r="AG25" s="191"/>
      <c r="AH25" s="192">
        <f t="shared" ca="1" si="6"/>
        <v>0</v>
      </c>
      <c r="AI25" s="233" t="str">
        <f t="shared" ca="1" si="12"/>
        <v/>
      </c>
    </row>
    <row r="26" spans="1:35" ht="15">
      <c r="A26" s="73" t="str">
        <f>IF(Calc!AM27&lt;&gt;"",Calc!AM27,"")</f>
        <v/>
      </c>
      <c r="B26" s="74">
        <f>IF(Calc!AN27&lt;&gt;"",Calc!AN27,"")</f>
        <v>0</v>
      </c>
      <c r="C26" s="74" t="str">
        <f ca="1">IF(Calc!AO27&lt;&gt;"",Calc!AO27,"")</f>
        <v/>
      </c>
      <c r="D26" s="75" t="str">
        <f ca="1">IF(Calc!AP27&lt;&gt;"",Calc!AP27,"")</f>
        <v/>
      </c>
      <c r="E26" s="77" t="str">
        <f ca="1">IF(Calc!AQ27&lt;&gt;"",Calc!AQ27,"")</f>
        <v/>
      </c>
      <c r="F26" s="79" t="str">
        <f>Calc!AU27</f>
        <v/>
      </c>
      <c r="G26" s="74">
        <f>Calc!AV27</f>
        <v>0</v>
      </c>
      <c r="H26" s="74" t="str">
        <f ca="1">Calc!AW27</f>
        <v/>
      </c>
      <c r="I26" s="75" t="str">
        <f ca="1">Calc!AX27</f>
        <v/>
      </c>
      <c r="J26" s="76" t="str">
        <f ca="1">Calc!AY27</f>
        <v/>
      </c>
      <c r="L26" s="78"/>
      <c r="M26" s="78"/>
      <c r="S26">
        <f t="shared" ca="1" si="7"/>
        <v>0</v>
      </c>
      <c r="T26">
        <f t="shared" ca="1" si="8"/>
        <v>2.0017000000000036</v>
      </c>
      <c r="U26" s="200" t="s">
        <v>264</v>
      </c>
      <c r="V26">
        <f t="shared" ca="1" si="9"/>
        <v>0</v>
      </c>
      <c r="W26">
        <f t="shared" ca="1" si="10"/>
        <v>0</v>
      </c>
      <c r="X26">
        <f t="shared" ca="1" si="11"/>
        <v>0</v>
      </c>
      <c r="AB26">
        <f t="shared" si="3"/>
        <v>20</v>
      </c>
      <c r="AC26" s="189" t="str">
        <f t="shared" ca="1" si="4"/>
        <v/>
      </c>
      <c r="AD26" s="190" t="str">
        <f t="shared" ca="1" si="5"/>
        <v/>
      </c>
      <c r="AE26" s="191" t="str">
        <f t="shared" ca="1" si="1"/>
        <v/>
      </c>
      <c r="AF26" s="191" t="str">
        <f t="shared" ca="1" si="2"/>
        <v/>
      </c>
      <c r="AG26" s="191"/>
      <c r="AH26" s="192">
        <f t="shared" ca="1" si="6"/>
        <v>0</v>
      </c>
      <c r="AI26" s="233" t="str">
        <f t="shared" ca="1" si="12"/>
        <v/>
      </c>
    </row>
    <row r="27" spans="1:35" ht="15">
      <c r="A27" s="73" t="str">
        <f>IF(Calc!AM28&lt;&gt;"",Calc!AM28,"")</f>
        <v/>
      </c>
      <c r="B27" s="74">
        <f>IF(Calc!AN28&lt;&gt;"",Calc!AN28,"")</f>
        <v>0</v>
      </c>
      <c r="C27" s="74" t="str">
        <f ca="1">IF(Calc!AO28&lt;&gt;"",Calc!AO28,"")</f>
        <v/>
      </c>
      <c r="D27" s="75" t="str">
        <f ca="1">IF(Calc!AP28&lt;&gt;"",Calc!AP28,"")</f>
        <v/>
      </c>
      <c r="E27" s="77" t="str">
        <f ca="1">IF(Calc!AQ28&lt;&gt;"",Calc!AQ28,"")</f>
        <v/>
      </c>
      <c r="F27" s="79" t="str">
        <f>Calc!AU28</f>
        <v/>
      </c>
      <c r="G27" s="74">
        <f>Calc!AV28</f>
        <v>0</v>
      </c>
      <c r="H27" s="74" t="str">
        <f ca="1">Calc!AW28</f>
        <v/>
      </c>
      <c r="I27" s="75" t="str">
        <f ca="1">Calc!AX28</f>
        <v/>
      </c>
      <c r="J27" s="76" t="str">
        <f ca="1">Calc!AY28</f>
        <v/>
      </c>
      <c r="L27" s="78"/>
      <c r="M27" s="78"/>
      <c r="S27">
        <f t="shared" ca="1" si="7"/>
        <v>0</v>
      </c>
      <c r="T27">
        <f t="shared" ca="1" si="8"/>
        <v>2.0018000000000038</v>
      </c>
      <c r="U27" s="200" t="s">
        <v>264</v>
      </c>
      <c r="V27">
        <f t="shared" ca="1" si="9"/>
        <v>0</v>
      </c>
      <c r="W27">
        <f t="shared" ca="1" si="10"/>
        <v>0</v>
      </c>
      <c r="X27">
        <f t="shared" ca="1" si="11"/>
        <v>0</v>
      </c>
      <c r="AB27">
        <f t="shared" si="3"/>
        <v>21</v>
      </c>
      <c r="AC27" s="189" t="str">
        <f t="shared" ca="1" si="4"/>
        <v/>
      </c>
      <c r="AD27" s="190" t="str">
        <f t="shared" ca="1" si="5"/>
        <v/>
      </c>
      <c r="AE27" s="191" t="str">
        <f t="shared" ca="1" si="1"/>
        <v/>
      </c>
      <c r="AF27" s="191" t="str">
        <f t="shared" ca="1" si="2"/>
        <v/>
      </c>
      <c r="AG27" s="191"/>
      <c r="AH27" s="192">
        <f t="shared" ca="1" si="6"/>
        <v>0</v>
      </c>
      <c r="AI27" s="233" t="str">
        <f t="shared" ca="1" si="12"/>
        <v/>
      </c>
    </row>
    <row r="28" spans="1:35" ht="15">
      <c r="A28" s="73" t="str">
        <f>IF(Calc!AM29&lt;&gt;"",Calc!AM29,"")</f>
        <v/>
      </c>
      <c r="B28" s="74">
        <f>IF(Calc!AN29&lt;&gt;"",Calc!AN29,"")</f>
        <v>0</v>
      </c>
      <c r="C28" s="74" t="str">
        <f ca="1">IF(Calc!AO29&lt;&gt;"",Calc!AO29,"")</f>
        <v/>
      </c>
      <c r="D28" s="75" t="str">
        <f ca="1">IF(Calc!AP29&lt;&gt;"",Calc!AP29,"")</f>
        <v/>
      </c>
      <c r="E28" s="77" t="str">
        <f ca="1">IF(Calc!AQ29&lt;&gt;"",Calc!AQ29,"")</f>
        <v/>
      </c>
      <c r="F28" s="79" t="str">
        <f>Calc!AU29</f>
        <v/>
      </c>
      <c r="G28" s="74">
        <f>Calc!AV29</f>
        <v>0</v>
      </c>
      <c r="H28" s="74" t="str">
        <f ca="1">Calc!AW29</f>
        <v/>
      </c>
      <c r="I28" s="75" t="str">
        <f ca="1">Calc!AX29</f>
        <v/>
      </c>
      <c r="J28" s="76" t="str">
        <f ca="1">Calc!AY29</f>
        <v/>
      </c>
      <c r="L28" s="78"/>
      <c r="M28" s="78"/>
      <c r="S28">
        <f t="shared" ca="1" si="7"/>
        <v>0</v>
      </c>
      <c r="T28">
        <f t="shared" ca="1" si="8"/>
        <v>2.001900000000004</v>
      </c>
      <c r="U28" s="200" t="s">
        <v>264</v>
      </c>
      <c r="V28">
        <f t="shared" ca="1" si="9"/>
        <v>0</v>
      </c>
      <c r="W28">
        <f t="shared" ca="1" si="10"/>
        <v>0</v>
      </c>
      <c r="X28">
        <f t="shared" ca="1" si="11"/>
        <v>0</v>
      </c>
      <c r="AB28">
        <f t="shared" si="3"/>
        <v>22</v>
      </c>
      <c r="AC28" s="189" t="str">
        <f t="shared" ca="1" si="4"/>
        <v/>
      </c>
      <c r="AD28" s="190" t="str">
        <f t="shared" ca="1" si="5"/>
        <v/>
      </c>
      <c r="AE28" s="191" t="str">
        <f t="shared" ca="1" si="1"/>
        <v/>
      </c>
      <c r="AF28" s="191" t="str">
        <f t="shared" ca="1" si="2"/>
        <v/>
      </c>
      <c r="AG28" s="191"/>
      <c r="AH28" s="192">
        <f t="shared" ca="1" si="6"/>
        <v>0</v>
      </c>
      <c r="AI28" s="233" t="str">
        <f t="shared" ca="1" si="12"/>
        <v/>
      </c>
    </row>
    <row r="29" spans="1:35" ht="15">
      <c r="A29" s="73" t="str">
        <f>IF(Calc!AM30&lt;&gt;"",Calc!AM30,"")</f>
        <v/>
      </c>
      <c r="B29" s="74">
        <f>IF(Calc!AN30&lt;&gt;"",Calc!AN30,"")</f>
        <v>0</v>
      </c>
      <c r="C29" s="74" t="str">
        <f ca="1">IF(Calc!AO30&lt;&gt;"",Calc!AO30,"")</f>
        <v/>
      </c>
      <c r="D29" s="75" t="str">
        <f ca="1">IF(Calc!AP30&lt;&gt;"",Calc!AP30,"")</f>
        <v/>
      </c>
      <c r="E29" s="77" t="str">
        <f ca="1">IF(Calc!AQ30&lt;&gt;"",Calc!AQ30,"")</f>
        <v/>
      </c>
      <c r="F29" s="79" t="str">
        <f>Calc!AU30</f>
        <v/>
      </c>
      <c r="G29" s="74">
        <f>Calc!AV30</f>
        <v>0</v>
      </c>
      <c r="H29" s="74" t="str">
        <f ca="1">Calc!AW30</f>
        <v/>
      </c>
      <c r="I29" s="75" t="str">
        <f ca="1">Calc!AX30</f>
        <v/>
      </c>
      <c r="J29" s="76" t="str">
        <f ca="1">Calc!AY30</f>
        <v/>
      </c>
      <c r="L29" s="78"/>
      <c r="M29" s="78"/>
      <c r="S29">
        <f t="shared" ca="1" si="7"/>
        <v>0</v>
      </c>
      <c r="T29">
        <f t="shared" ca="1" si="8"/>
        <v>2.0020000000000042</v>
      </c>
      <c r="U29" s="200" t="s">
        <v>264</v>
      </c>
      <c r="V29">
        <f t="shared" ca="1" si="9"/>
        <v>0</v>
      </c>
      <c r="W29">
        <f t="shared" ca="1" si="10"/>
        <v>0</v>
      </c>
      <c r="X29">
        <f t="shared" ca="1" si="11"/>
        <v>0</v>
      </c>
      <c r="AB29">
        <f t="shared" si="3"/>
        <v>23</v>
      </c>
      <c r="AC29" s="189" t="str">
        <f t="shared" ca="1" si="4"/>
        <v/>
      </c>
      <c r="AD29" s="190" t="str">
        <f t="shared" ca="1" si="5"/>
        <v/>
      </c>
      <c r="AE29" s="191" t="str">
        <f t="shared" ca="1" si="1"/>
        <v/>
      </c>
      <c r="AF29" s="191" t="str">
        <f t="shared" ca="1" si="2"/>
        <v/>
      </c>
      <c r="AG29" s="191"/>
      <c r="AH29" s="192">
        <f t="shared" ca="1" si="6"/>
        <v>0</v>
      </c>
      <c r="AI29" s="233" t="str">
        <f t="shared" ca="1" si="12"/>
        <v/>
      </c>
    </row>
    <row r="30" spans="1:35" ht="15">
      <c r="A30" s="73" t="str">
        <f>IF(Calc!AM31&lt;&gt;"",Calc!AM31,"")</f>
        <v/>
      </c>
      <c r="B30" s="74">
        <f>IF(Calc!AN31&lt;&gt;"",Calc!AN31,"")</f>
        <v>0</v>
      </c>
      <c r="C30" s="74" t="str">
        <f ca="1">IF(Calc!AO31&lt;&gt;"",Calc!AO31,"")</f>
        <v/>
      </c>
      <c r="D30" s="75" t="str">
        <f ca="1">IF(Calc!AP31&lt;&gt;"",Calc!AP31,"")</f>
        <v/>
      </c>
      <c r="E30" s="77" t="str">
        <f ca="1">IF(Calc!AQ31&lt;&gt;"",Calc!AQ31,"")</f>
        <v/>
      </c>
      <c r="F30" s="79" t="str">
        <f>Calc!AU31</f>
        <v/>
      </c>
      <c r="G30" s="74">
        <f>Calc!AV31</f>
        <v>0</v>
      </c>
      <c r="H30" s="74" t="str">
        <f ca="1">Calc!AW31</f>
        <v/>
      </c>
      <c r="I30" s="75" t="str">
        <f ca="1">Calc!AX31</f>
        <v/>
      </c>
      <c r="J30" s="76" t="str">
        <f ca="1">Calc!AY31</f>
        <v/>
      </c>
      <c r="L30" s="78"/>
      <c r="M30" s="78"/>
      <c r="S30">
        <f t="shared" ca="1" si="7"/>
        <v>0</v>
      </c>
      <c r="T30">
        <f t="shared" ca="1" si="8"/>
        <v>2.0021000000000044</v>
      </c>
      <c r="U30" s="200" t="s">
        <v>264</v>
      </c>
      <c r="V30">
        <f t="shared" ca="1" si="9"/>
        <v>0</v>
      </c>
      <c r="W30">
        <f t="shared" ca="1" si="10"/>
        <v>0</v>
      </c>
      <c r="X30">
        <f t="shared" ca="1" si="11"/>
        <v>0</v>
      </c>
      <c r="AB30">
        <f t="shared" si="3"/>
        <v>24</v>
      </c>
      <c r="AC30" s="189" t="str">
        <f t="shared" ca="1" si="4"/>
        <v/>
      </c>
      <c r="AD30" s="190" t="str">
        <f t="shared" ca="1" si="5"/>
        <v/>
      </c>
      <c r="AE30" s="191" t="str">
        <f t="shared" ca="1" si="1"/>
        <v/>
      </c>
      <c r="AF30" s="191" t="str">
        <f t="shared" ca="1" si="2"/>
        <v/>
      </c>
      <c r="AG30" s="191"/>
      <c r="AH30" s="192">
        <f t="shared" ca="1" si="6"/>
        <v>0</v>
      </c>
      <c r="AI30" s="233" t="str">
        <f t="shared" ca="1" si="12"/>
        <v/>
      </c>
    </row>
    <row r="31" spans="1:35" ht="15">
      <c r="A31" s="73" t="str">
        <f>IF(Calc!AM32&lt;&gt;"",Calc!AM32,"")</f>
        <v/>
      </c>
      <c r="B31" s="74">
        <f>IF(Calc!AN32&lt;&gt;"",Calc!AN32,"")</f>
        <v>0</v>
      </c>
      <c r="C31" s="74" t="str">
        <f ca="1">IF(Calc!AO32&lt;&gt;"",Calc!AO32,"")</f>
        <v/>
      </c>
      <c r="D31" s="75" t="str">
        <f ca="1">IF(Calc!AP32&lt;&gt;"",Calc!AP32,"")</f>
        <v/>
      </c>
      <c r="E31" s="77" t="str">
        <f ca="1">IF(Calc!AQ32&lt;&gt;"",Calc!AQ32,"")</f>
        <v/>
      </c>
      <c r="F31" s="79" t="str">
        <f>Calc!AU32</f>
        <v/>
      </c>
      <c r="G31" s="74">
        <f>Calc!AV32</f>
        <v>0</v>
      </c>
      <c r="H31" s="74" t="str">
        <f ca="1">Calc!AW32</f>
        <v/>
      </c>
      <c r="I31" s="75" t="str">
        <f ca="1">Calc!AX32</f>
        <v/>
      </c>
      <c r="J31" s="76" t="str">
        <f ca="1">Calc!AY32</f>
        <v/>
      </c>
      <c r="L31" s="78"/>
      <c r="M31" s="78"/>
      <c r="S31">
        <f t="shared" ca="1" si="7"/>
        <v>0</v>
      </c>
      <c r="T31">
        <f t="shared" ca="1" si="8"/>
        <v>2.0022000000000046</v>
      </c>
      <c r="U31" s="200" t="s">
        <v>264</v>
      </c>
      <c r="V31">
        <f t="shared" ca="1" si="9"/>
        <v>0</v>
      </c>
      <c r="W31">
        <f t="shared" ca="1" si="10"/>
        <v>0</v>
      </c>
      <c r="X31">
        <f t="shared" ca="1" si="11"/>
        <v>0</v>
      </c>
      <c r="AB31">
        <f t="shared" si="3"/>
        <v>25</v>
      </c>
      <c r="AC31" s="189" t="str">
        <f t="shared" ca="1" si="4"/>
        <v/>
      </c>
      <c r="AD31" s="190" t="str">
        <f t="shared" ca="1" si="5"/>
        <v/>
      </c>
      <c r="AE31" s="191" t="str">
        <f t="shared" ca="1" si="1"/>
        <v/>
      </c>
      <c r="AF31" s="191" t="str">
        <f t="shared" ca="1" si="2"/>
        <v/>
      </c>
      <c r="AG31" s="191"/>
      <c r="AH31" s="192">
        <f t="shared" ca="1" si="6"/>
        <v>0</v>
      </c>
      <c r="AI31" s="233" t="str">
        <f t="shared" ca="1" si="12"/>
        <v/>
      </c>
    </row>
    <row r="32" spans="1:35" ht="15">
      <c r="A32" s="73" t="str">
        <f>IF(Calc!AM33&lt;&gt;"",Calc!AM33,"")</f>
        <v/>
      </c>
      <c r="B32" s="74">
        <f>IF(Calc!AN33&lt;&gt;"",Calc!AN33,"")</f>
        <v>0</v>
      </c>
      <c r="C32" s="74" t="str">
        <f ca="1">IF(Calc!AO33&lt;&gt;"",Calc!AO33,"")</f>
        <v/>
      </c>
      <c r="D32" s="75" t="str">
        <f ca="1">IF(Calc!AP33&lt;&gt;"",Calc!AP33,"")</f>
        <v/>
      </c>
      <c r="E32" s="77" t="str">
        <f ca="1">IF(Calc!AQ33&lt;&gt;"",Calc!AQ33,"")</f>
        <v/>
      </c>
      <c r="F32" s="79" t="str">
        <f>Calc!AU33</f>
        <v/>
      </c>
      <c r="G32" s="74">
        <f>Calc!AV33</f>
        <v>0</v>
      </c>
      <c r="H32" s="74" t="str">
        <f ca="1">Calc!AW33</f>
        <v/>
      </c>
      <c r="I32" s="75" t="str">
        <f ca="1">Calc!AX33</f>
        <v/>
      </c>
      <c r="J32" s="76" t="str">
        <f ca="1">Calc!AY33</f>
        <v/>
      </c>
      <c r="L32" s="78"/>
      <c r="M32" s="78"/>
      <c r="S32">
        <f t="shared" ca="1" si="7"/>
        <v>0</v>
      </c>
      <c r="T32">
        <f t="shared" ca="1" si="8"/>
        <v>2.0023000000000049</v>
      </c>
      <c r="U32" s="200" t="s">
        <v>264</v>
      </c>
      <c r="V32">
        <f t="shared" ca="1" si="9"/>
        <v>0</v>
      </c>
      <c r="W32">
        <f t="shared" ca="1" si="10"/>
        <v>0</v>
      </c>
      <c r="X32">
        <f t="shared" ca="1" si="11"/>
        <v>0</v>
      </c>
      <c r="AB32">
        <f t="shared" si="3"/>
        <v>26</v>
      </c>
      <c r="AC32" s="189" t="str">
        <f t="shared" ca="1" si="4"/>
        <v/>
      </c>
      <c r="AD32" s="190" t="str">
        <f t="shared" ca="1" si="5"/>
        <v/>
      </c>
      <c r="AE32" s="191" t="str">
        <f t="shared" ca="1" si="1"/>
        <v/>
      </c>
      <c r="AF32" s="191" t="str">
        <f t="shared" ca="1" si="2"/>
        <v/>
      </c>
      <c r="AG32" s="191"/>
      <c r="AH32" s="192">
        <f t="shared" ca="1" si="6"/>
        <v>0</v>
      </c>
      <c r="AI32" s="233" t="str">
        <f t="shared" ca="1" si="12"/>
        <v/>
      </c>
    </row>
    <row r="33" spans="1:35" ht="15">
      <c r="A33" s="73" t="str">
        <f>IF(Calc!AM34&lt;&gt;"",Calc!AM34,"")</f>
        <v/>
      </c>
      <c r="B33" s="74">
        <f>IF(Calc!AN34&lt;&gt;"",Calc!AN34,"")</f>
        <v>0</v>
      </c>
      <c r="C33" s="74" t="str">
        <f ca="1">IF(Calc!AO34&lt;&gt;"",Calc!AO34,"")</f>
        <v/>
      </c>
      <c r="D33" s="75" t="str">
        <f ca="1">IF(Calc!AP34&lt;&gt;"",Calc!AP34,"")</f>
        <v/>
      </c>
      <c r="E33" s="77" t="str">
        <f ca="1">IF(Calc!AQ34&lt;&gt;"",Calc!AQ34,"")</f>
        <v/>
      </c>
      <c r="F33" s="79" t="str">
        <f>Calc!AU34</f>
        <v/>
      </c>
      <c r="G33" s="74">
        <f>Calc!AV34</f>
        <v>0</v>
      </c>
      <c r="H33" s="74" t="str">
        <f ca="1">Calc!AW34</f>
        <v/>
      </c>
      <c r="I33" s="75" t="str">
        <f ca="1">Calc!AX34</f>
        <v/>
      </c>
      <c r="J33" s="76" t="str">
        <f ca="1">Calc!AY34</f>
        <v/>
      </c>
      <c r="L33" s="78"/>
      <c r="M33" s="78"/>
      <c r="S33">
        <f t="shared" ca="1" si="7"/>
        <v>0</v>
      </c>
      <c r="T33">
        <f t="shared" ca="1" si="8"/>
        <v>2.0024000000000051</v>
      </c>
      <c r="U33" s="200" t="s">
        <v>264</v>
      </c>
      <c r="V33">
        <f t="shared" ca="1" si="9"/>
        <v>0</v>
      </c>
      <c r="W33">
        <f t="shared" ca="1" si="10"/>
        <v>0</v>
      </c>
      <c r="X33">
        <f t="shared" ca="1" si="11"/>
        <v>0</v>
      </c>
      <c r="AB33">
        <f t="shared" si="3"/>
        <v>27</v>
      </c>
      <c r="AC33" s="189" t="str">
        <f t="shared" ca="1" si="4"/>
        <v/>
      </c>
      <c r="AD33" s="190" t="str">
        <f t="shared" ca="1" si="5"/>
        <v/>
      </c>
      <c r="AE33" s="191" t="str">
        <f t="shared" ca="1" si="1"/>
        <v/>
      </c>
      <c r="AF33" s="191" t="str">
        <f t="shared" ca="1" si="2"/>
        <v/>
      </c>
      <c r="AG33" s="191"/>
      <c r="AH33" s="192">
        <f t="shared" ca="1" si="6"/>
        <v>0</v>
      </c>
      <c r="AI33" s="233" t="str">
        <f t="shared" ca="1" si="12"/>
        <v/>
      </c>
    </row>
    <row r="34" spans="1:35" ht="15">
      <c r="A34" s="73" t="str">
        <f>IF(Calc!AM35&lt;&gt;"",Calc!AM35,"")</f>
        <v/>
      </c>
      <c r="B34" s="74">
        <f>IF(Calc!AN35&lt;&gt;"",Calc!AN35,"")</f>
        <v>0</v>
      </c>
      <c r="C34" s="74" t="str">
        <f ca="1">IF(Calc!AO35&lt;&gt;"",Calc!AO35,"")</f>
        <v/>
      </c>
      <c r="D34" s="75" t="str">
        <f ca="1">IF(Calc!AP35&lt;&gt;"",Calc!AP35,"")</f>
        <v/>
      </c>
      <c r="E34" s="77" t="str">
        <f ca="1">IF(Calc!AQ35&lt;&gt;"",Calc!AQ35,"")</f>
        <v/>
      </c>
      <c r="F34" s="79" t="str">
        <f>Calc!AU35</f>
        <v/>
      </c>
      <c r="G34" s="74">
        <f>Calc!AV35</f>
        <v>0</v>
      </c>
      <c r="H34" s="74" t="str">
        <f ca="1">Calc!AW35</f>
        <v/>
      </c>
      <c r="I34" s="75" t="str">
        <f ca="1">Calc!AX35</f>
        <v/>
      </c>
      <c r="J34" s="76" t="str">
        <f ca="1">Calc!AY35</f>
        <v/>
      </c>
      <c r="L34" s="78"/>
      <c r="M34" s="78"/>
      <c r="S34">
        <f t="shared" ca="1" si="7"/>
        <v>0</v>
      </c>
      <c r="T34">
        <f t="shared" ca="1" si="8"/>
        <v>2.0025000000000053</v>
      </c>
      <c r="U34" s="200" t="s">
        <v>264</v>
      </c>
      <c r="V34">
        <f t="shared" ca="1" si="9"/>
        <v>0</v>
      </c>
      <c r="W34">
        <f t="shared" ca="1" si="10"/>
        <v>0</v>
      </c>
      <c r="X34">
        <f t="shared" ca="1" si="11"/>
        <v>0</v>
      </c>
      <c r="AB34">
        <f t="shared" si="3"/>
        <v>28</v>
      </c>
      <c r="AC34" s="189" t="str">
        <f t="shared" ca="1" si="4"/>
        <v/>
      </c>
      <c r="AD34" s="190" t="str">
        <f t="shared" ca="1" si="5"/>
        <v/>
      </c>
      <c r="AE34" s="191" t="str">
        <f t="shared" ca="1" si="1"/>
        <v/>
      </c>
      <c r="AF34" s="191" t="str">
        <f t="shared" ca="1" si="2"/>
        <v/>
      </c>
      <c r="AG34" s="191"/>
      <c r="AH34" s="192">
        <f t="shared" ca="1" si="6"/>
        <v>0</v>
      </c>
      <c r="AI34" s="233" t="str">
        <f t="shared" ca="1" si="12"/>
        <v/>
      </c>
    </row>
    <row r="35" spans="1:35" ht="15">
      <c r="A35" s="73" t="str">
        <f>IF(Calc!AM36&lt;&gt;"",Calc!AM36,"")</f>
        <v/>
      </c>
      <c r="B35" s="74">
        <f>IF(Calc!AN36&lt;&gt;"",Calc!AN36,"")</f>
        <v>0</v>
      </c>
      <c r="C35" s="74" t="str">
        <f ca="1">IF(Calc!AO36&lt;&gt;"",Calc!AO36,"")</f>
        <v/>
      </c>
      <c r="D35" s="75" t="str">
        <f ca="1">IF(Calc!AP36&lt;&gt;"",Calc!AP36,"")</f>
        <v/>
      </c>
      <c r="E35" s="77" t="str">
        <f ca="1">IF(Calc!AQ36&lt;&gt;"",Calc!AQ36,"")</f>
        <v/>
      </c>
      <c r="F35" s="79" t="str">
        <f>Calc!AU36</f>
        <v/>
      </c>
      <c r="G35" s="74">
        <f>Calc!AV36</f>
        <v>0</v>
      </c>
      <c r="H35" s="74" t="str">
        <f ca="1">Calc!AW36</f>
        <v/>
      </c>
      <c r="I35" s="75" t="str">
        <f ca="1">Calc!AX36</f>
        <v/>
      </c>
      <c r="J35" s="76" t="str">
        <f ca="1">Calc!AY36</f>
        <v/>
      </c>
      <c r="L35" s="78"/>
      <c r="M35" s="78"/>
      <c r="S35">
        <f t="shared" ca="1" si="7"/>
        <v>0</v>
      </c>
      <c r="T35">
        <f t="shared" ca="1" si="8"/>
        <v>2.0026000000000055</v>
      </c>
      <c r="U35" s="200" t="s">
        <v>264</v>
      </c>
      <c r="V35">
        <f t="shared" ca="1" si="9"/>
        <v>0</v>
      </c>
      <c r="W35">
        <f t="shared" ca="1" si="10"/>
        <v>0</v>
      </c>
      <c r="X35">
        <f t="shared" ca="1" si="11"/>
        <v>0</v>
      </c>
      <c r="AB35">
        <f t="shared" si="3"/>
        <v>29</v>
      </c>
      <c r="AC35" s="189" t="str">
        <f t="shared" ca="1" si="4"/>
        <v/>
      </c>
      <c r="AD35" s="190" t="str">
        <f t="shared" ca="1" si="5"/>
        <v/>
      </c>
      <c r="AE35" s="191" t="str">
        <f t="shared" ca="1" si="1"/>
        <v/>
      </c>
      <c r="AF35" s="191" t="str">
        <f t="shared" ca="1" si="2"/>
        <v/>
      </c>
      <c r="AG35" s="191"/>
      <c r="AH35" s="192">
        <f t="shared" ca="1" si="6"/>
        <v>0</v>
      </c>
      <c r="AI35" s="233" t="str">
        <f t="shared" ca="1" si="12"/>
        <v/>
      </c>
    </row>
    <row r="36" spans="1:35" ht="15">
      <c r="A36" s="73" t="str">
        <f>IF(Calc!AM37&lt;&gt;"",Calc!AM37,"")</f>
        <v/>
      </c>
      <c r="B36" s="74">
        <f>IF(Calc!AN37&lt;&gt;"",Calc!AN37,"")</f>
        <v>0</v>
      </c>
      <c r="C36" s="74" t="str">
        <f ca="1">IF(Calc!AO37&lt;&gt;"",Calc!AO37,"")</f>
        <v/>
      </c>
      <c r="D36" s="75" t="str">
        <f ca="1">IF(Calc!AP37&lt;&gt;"",Calc!AP37,"")</f>
        <v/>
      </c>
      <c r="E36" s="77" t="str">
        <f ca="1">IF(Calc!AQ37&lt;&gt;"",Calc!AQ37,"")</f>
        <v/>
      </c>
      <c r="F36" s="79" t="str">
        <f>Calc!AU37</f>
        <v/>
      </c>
      <c r="G36" s="74">
        <f>Calc!AV37</f>
        <v>0</v>
      </c>
      <c r="H36" s="74" t="str">
        <f ca="1">Calc!AW37</f>
        <v/>
      </c>
      <c r="I36" s="75" t="str">
        <f ca="1">Calc!AX37</f>
        <v/>
      </c>
      <c r="J36" s="76" t="str">
        <f ca="1">Calc!AY37</f>
        <v/>
      </c>
      <c r="L36" s="78"/>
      <c r="M36" s="78"/>
      <c r="S36">
        <f t="shared" ca="1" si="7"/>
        <v>0</v>
      </c>
      <c r="T36">
        <f t="shared" ca="1" si="8"/>
        <v>2.0027000000000057</v>
      </c>
      <c r="U36" s="200" t="s">
        <v>264</v>
      </c>
      <c r="V36">
        <f t="shared" ca="1" si="9"/>
        <v>0</v>
      </c>
      <c r="W36">
        <f t="shared" ca="1" si="10"/>
        <v>0</v>
      </c>
      <c r="X36">
        <f t="shared" ca="1" si="11"/>
        <v>0</v>
      </c>
      <c r="AB36">
        <f t="shared" si="3"/>
        <v>30</v>
      </c>
      <c r="AC36" s="189" t="str">
        <f t="shared" ca="1" si="4"/>
        <v/>
      </c>
      <c r="AD36" s="190" t="str">
        <f t="shared" ca="1" si="5"/>
        <v/>
      </c>
      <c r="AE36" s="191" t="str">
        <f t="shared" ca="1" si="1"/>
        <v/>
      </c>
      <c r="AF36" s="191" t="str">
        <f t="shared" ca="1" si="2"/>
        <v/>
      </c>
      <c r="AG36" s="191"/>
      <c r="AH36" s="192">
        <f t="shared" ca="1" si="6"/>
        <v>0</v>
      </c>
      <c r="AI36" s="233" t="str">
        <f t="shared" ca="1" si="12"/>
        <v/>
      </c>
    </row>
    <row r="37" spans="1:35" ht="15">
      <c r="A37" s="73" t="str">
        <f>IF(Calc!AM38&lt;&gt;"",Calc!AM38,"")</f>
        <v/>
      </c>
      <c r="B37" s="74">
        <f>IF(Calc!AN38&lt;&gt;"",Calc!AN38,"")</f>
        <v>0</v>
      </c>
      <c r="C37" s="74" t="str">
        <f ca="1">IF(Calc!AO38&lt;&gt;"",Calc!AO38,"")</f>
        <v/>
      </c>
      <c r="D37" s="75" t="str">
        <f ca="1">IF(Calc!AP38&lt;&gt;"",Calc!AP38,"")</f>
        <v/>
      </c>
      <c r="E37" s="77" t="str">
        <f ca="1">IF(Calc!AQ38&lt;&gt;"",Calc!AQ38,"")</f>
        <v/>
      </c>
      <c r="F37" s="79" t="str">
        <f>Calc!AU38</f>
        <v/>
      </c>
      <c r="G37" s="74">
        <f>Calc!AV38</f>
        <v>0</v>
      </c>
      <c r="H37" s="74" t="str">
        <f ca="1">Calc!AW38</f>
        <v/>
      </c>
      <c r="I37" s="75" t="str">
        <f ca="1">Calc!AX38</f>
        <v/>
      </c>
      <c r="J37" s="76" t="str">
        <f ca="1">Calc!AY38</f>
        <v/>
      </c>
      <c r="L37" s="13"/>
      <c r="M37" s="13"/>
      <c r="S37">
        <f t="shared" ca="1" si="7"/>
        <v>0</v>
      </c>
      <c r="T37">
        <f t="shared" ca="1" si="8"/>
        <v>2.0028000000000059</v>
      </c>
      <c r="U37" s="200" t="s">
        <v>264</v>
      </c>
      <c r="V37">
        <f t="shared" ca="1" si="9"/>
        <v>0</v>
      </c>
      <c r="W37">
        <f t="shared" ca="1" si="10"/>
        <v>0</v>
      </c>
      <c r="X37">
        <f t="shared" ca="1" si="11"/>
        <v>0</v>
      </c>
      <c r="AB37">
        <f t="shared" si="3"/>
        <v>31</v>
      </c>
      <c r="AC37" s="189" t="str">
        <f t="shared" ca="1" si="4"/>
        <v/>
      </c>
      <c r="AD37" s="190" t="str">
        <f t="shared" ca="1" si="5"/>
        <v/>
      </c>
      <c r="AE37" s="191" t="str">
        <f t="shared" ca="1" si="1"/>
        <v/>
      </c>
      <c r="AF37" s="191" t="str">
        <f t="shared" ca="1" si="2"/>
        <v/>
      </c>
      <c r="AG37" s="191"/>
      <c r="AH37" s="192">
        <f t="shared" ca="1" si="6"/>
        <v>0</v>
      </c>
      <c r="AI37" s="233" t="str">
        <f t="shared" ca="1" si="12"/>
        <v/>
      </c>
    </row>
    <row r="38" spans="1:35" ht="15">
      <c r="A38" s="73" t="str">
        <f>IF(Calc!AM39&lt;&gt;"",Calc!AM39,"")</f>
        <v/>
      </c>
      <c r="B38" s="74">
        <f>IF(Calc!AN39&lt;&gt;"",Calc!AN39,"")</f>
        <v>0</v>
      </c>
      <c r="C38" s="74" t="str">
        <f ca="1">IF(Calc!AO39&lt;&gt;"",Calc!AO39,"")</f>
        <v/>
      </c>
      <c r="D38" s="75" t="str">
        <f ca="1">IF(Calc!AP39&lt;&gt;"",Calc!AP39,"")</f>
        <v/>
      </c>
      <c r="E38" s="77" t="str">
        <f ca="1">IF(Calc!AQ39&lt;&gt;"",Calc!AQ39,"")</f>
        <v/>
      </c>
      <c r="F38" s="79" t="str">
        <f>Calc!AU39</f>
        <v/>
      </c>
      <c r="G38" s="74">
        <f>Calc!AV39</f>
        <v>0</v>
      </c>
      <c r="H38" s="74" t="str">
        <f ca="1">Calc!AW39</f>
        <v/>
      </c>
      <c r="I38" s="75" t="str">
        <f ca="1">Calc!AX39</f>
        <v/>
      </c>
      <c r="J38" s="76" t="str">
        <f ca="1">Calc!AY39</f>
        <v/>
      </c>
      <c r="L38" s="13"/>
      <c r="M38" s="13"/>
      <c r="S38">
        <f t="shared" ca="1" si="7"/>
        <v>0</v>
      </c>
      <c r="T38">
        <f t="shared" ca="1" si="8"/>
        <v>2.0029000000000061</v>
      </c>
      <c r="U38" s="200" t="s">
        <v>264</v>
      </c>
      <c r="V38">
        <f t="shared" ca="1" si="9"/>
        <v>0</v>
      </c>
      <c r="W38">
        <f t="shared" ca="1" si="10"/>
        <v>0</v>
      </c>
      <c r="X38">
        <f t="shared" ca="1" si="11"/>
        <v>0</v>
      </c>
      <c r="AB38">
        <f t="shared" si="3"/>
        <v>32</v>
      </c>
      <c r="AC38" s="189" t="str">
        <f t="shared" ca="1" si="4"/>
        <v/>
      </c>
      <c r="AD38" s="190" t="str">
        <f t="shared" ca="1" si="5"/>
        <v/>
      </c>
      <c r="AE38" s="191" t="str">
        <f t="shared" ca="1" si="1"/>
        <v/>
      </c>
      <c r="AF38" s="191" t="str">
        <f t="shared" ca="1" si="2"/>
        <v/>
      </c>
      <c r="AG38" s="191"/>
      <c r="AH38" s="192">
        <f t="shared" ca="1" si="6"/>
        <v>0</v>
      </c>
      <c r="AI38" s="233" t="str">
        <f t="shared" ca="1" si="12"/>
        <v/>
      </c>
    </row>
    <row r="39" spans="1:35" ht="15">
      <c r="A39" s="73" t="str">
        <f>IF(Calc!AM40&lt;&gt;"",Calc!AM40,"")</f>
        <v/>
      </c>
      <c r="B39" s="74">
        <f>IF(Calc!AN40&lt;&gt;"",Calc!AN40,"")</f>
        <v>0</v>
      </c>
      <c r="C39" s="74" t="str">
        <f ca="1">IF(Calc!AO40&lt;&gt;"",Calc!AO40,"")</f>
        <v/>
      </c>
      <c r="D39" s="75" t="str">
        <f ca="1">IF(Calc!AP40&lt;&gt;"",Calc!AP40,"")</f>
        <v/>
      </c>
      <c r="E39" s="77" t="str">
        <f ca="1">IF(Calc!AQ40&lt;&gt;"",Calc!AQ40,"")</f>
        <v/>
      </c>
      <c r="F39" s="79" t="str">
        <f>Calc!AU40</f>
        <v/>
      </c>
      <c r="G39" s="74">
        <f>Calc!AV40</f>
        <v>0</v>
      </c>
      <c r="H39" s="74" t="str">
        <f ca="1">Calc!AW40</f>
        <v/>
      </c>
      <c r="I39" s="75" t="str">
        <f ca="1">Calc!AX40</f>
        <v/>
      </c>
      <c r="J39" s="76" t="str">
        <f ca="1">Calc!AY40</f>
        <v/>
      </c>
      <c r="L39" s="13"/>
      <c r="M39" s="13"/>
      <c r="S39">
        <f t="shared" ca="1" si="7"/>
        <v>0</v>
      </c>
      <c r="T39">
        <f t="shared" ca="1" si="8"/>
        <v>2.0030000000000063</v>
      </c>
      <c r="U39" s="200" t="s">
        <v>264</v>
      </c>
      <c r="V39">
        <f t="shared" ca="1" si="9"/>
        <v>0</v>
      </c>
      <c r="W39">
        <f t="shared" ca="1" si="10"/>
        <v>0</v>
      </c>
      <c r="X39">
        <f t="shared" ca="1" si="11"/>
        <v>0</v>
      </c>
      <c r="AB39">
        <f t="shared" si="3"/>
        <v>33</v>
      </c>
      <c r="AC39" s="189" t="str">
        <f t="shared" ca="1" si="4"/>
        <v/>
      </c>
      <c r="AD39" s="190" t="str">
        <f t="shared" ca="1" si="5"/>
        <v/>
      </c>
      <c r="AE39" s="191" t="str">
        <f t="shared" ca="1" si="1"/>
        <v/>
      </c>
      <c r="AF39" s="191" t="str">
        <f t="shared" ca="1" si="2"/>
        <v/>
      </c>
      <c r="AG39" s="191"/>
      <c r="AH39" s="192">
        <f t="shared" ca="1" si="6"/>
        <v>0</v>
      </c>
      <c r="AI39" s="233" t="str">
        <f t="shared" ca="1" si="12"/>
        <v/>
      </c>
    </row>
    <row r="40" spans="1:35" ht="15">
      <c r="A40" s="73" t="str">
        <f>IF(Calc!AM41&lt;&gt;"",Calc!AM41,"")</f>
        <v/>
      </c>
      <c r="B40" s="74">
        <f>IF(Calc!AN41&lt;&gt;"",Calc!AN41,"")</f>
        <v>0</v>
      </c>
      <c r="C40" s="74" t="str">
        <f ca="1">IF(Calc!AO41&lt;&gt;"",Calc!AO41,"")</f>
        <v/>
      </c>
      <c r="D40" s="75" t="str">
        <f ca="1">IF(Calc!AP41&lt;&gt;"",Calc!AP41,"")</f>
        <v/>
      </c>
      <c r="E40" s="77" t="str">
        <f ca="1">IF(Calc!AQ41&lt;&gt;"",Calc!AQ41,"")</f>
        <v/>
      </c>
      <c r="F40" s="79" t="str">
        <f>Calc!AU41</f>
        <v/>
      </c>
      <c r="G40" s="74">
        <f>Calc!AV41</f>
        <v>0</v>
      </c>
      <c r="H40" s="74" t="str">
        <f ca="1">Calc!AW41</f>
        <v/>
      </c>
      <c r="I40" s="75" t="str">
        <f ca="1">Calc!AX41</f>
        <v/>
      </c>
      <c r="J40" s="76" t="str">
        <f ca="1">Calc!AY41</f>
        <v/>
      </c>
      <c r="L40" s="13"/>
      <c r="M40" s="13"/>
      <c r="S40">
        <f t="shared" ca="1" si="7"/>
        <v>0</v>
      </c>
      <c r="T40">
        <f t="shared" ca="1" si="8"/>
        <v>2.0031000000000065</v>
      </c>
      <c r="U40" s="200" t="s">
        <v>264</v>
      </c>
      <c r="V40">
        <f t="shared" ca="1" si="9"/>
        <v>0</v>
      </c>
      <c r="W40">
        <f t="shared" ca="1" si="10"/>
        <v>0</v>
      </c>
      <c r="X40">
        <f t="shared" ca="1" si="11"/>
        <v>0</v>
      </c>
      <c r="AB40">
        <f t="shared" si="3"/>
        <v>34</v>
      </c>
      <c r="AC40" s="189" t="str">
        <f t="shared" ca="1" si="4"/>
        <v/>
      </c>
      <c r="AD40" s="190" t="str">
        <f t="shared" ca="1" si="5"/>
        <v/>
      </c>
      <c r="AE40" s="191" t="str">
        <f t="shared" ca="1" si="1"/>
        <v/>
      </c>
      <c r="AF40" s="191" t="str">
        <f t="shared" ca="1" si="2"/>
        <v/>
      </c>
      <c r="AG40" s="191"/>
      <c r="AH40" s="192">
        <f t="shared" ca="1" si="6"/>
        <v>0</v>
      </c>
      <c r="AI40" s="233" t="str">
        <f t="shared" ca="1" si="12"/>
        <v/>
      </c>
    </row>
    <row r="41" spans="1:35" ht="15">
      <c r="A41" s="73" t="str">
        <f>IF(Calc!AM42&lt;&gt;"",Calc!AM42,"")</f>
        <v/>
      </c>
      <c r="B41" s="74">
        <f>IF(Calc!AN42&lt;&gt;"",Calc!AN42,"")</f>
        <v>0</v>
      </c>
      <c r="C41" s="74" t="str">
        <f ca="1">IF(Calc!AO42&lt;&gt;"",Calc!AO42,"")</f>
        <v/>
      </c>
      <c r="D41" s="75" t="str">
        <f ca="1">IF(Calc!AP42&lt;&gt;"",Calc!AP42,"")</f>
        <v/>
      </c>
      <c r="E41" s="77" t="str">
        <f ca="1">IF(Calc!AQ42&lt;&gt;"",Calc!AQ42,"")</f>
        <v/>
      </c>
      <c r="F41" s="79" t="str">
        <f>Calc!AU42</f>
        <v/>
      </c>
      <c r="G41" s="74">
        <f>Calc!AV42</f>
        <v>0</v>
      </c>
      <c r="H41" s="74" t="str">
        <f ca="1">Calc!AW42</f>
        <v/>
      </c>
      <c r="I41" s="75" t="str">
        <f ca="1">Calc!AX42</f>
        <v/>
      </c>
      <c r="J41" s="76" t="str">
        <f ca="1">Calc!AY42</f>
        <v/>
      </c>
      <c r="L41" s="13"/>
      <c r="M41" s="13"/>
      <c r="S41">
        <f t="shared" ca="1" si="7"/>
        <v>0</v>
      </c>
      <c r="T41">
        <f t="shared" ca="1" si="8"/>
        <v>2.0032000000000068</v>
      </c>
      <c r="U41" s="200" t="s">
        <v>264</v>
      </c>
      <c r="V41">
        <f t="shared" ca="1" si="9"/>
        <v>0</v>
      </c>
      <c r="W41">
        <f t="shared" ca="1" si="10"/>
        <v>0</v>
      </c>
      <c r="X41">
        <f t="shared" ca="1" si="11"/>
        <v>0</v>
      </c>
      <c r="AB41">
        <f t="shared" si="3"/>
        <v>35</v>
      </c>
      <c r="AC41" s="189" t="str">
        <f t="shared" ca="1" si="4"/>
        <v/>
      </c>
      <c r="AD41" s="190" t="str">
        <f t="shared" ca="1" si="5"/>
        <v/>
      </c>
      <c r="AE41" s="191" t="str">
        <f t="shared" ca="1" si="1"/>
        <v/>
      </c>
      <c r="AF41" s="191" t="str">
        <f t="shared" ca="1" si="2"/>
        <v/>
      </c>
      <c r="AG41" s="191"/>
      <c r="AH41" s="192">
        <f t="shared" ca="1" si="6"/>
        <v>0</v>
      </c>
      <c r="AI41" s="233" t="str">
        <f t="shared" ca="1" si="12"/>
        <v/>
      </c>
    </row>
    <row r="42" spans="1:35" ht="15">
      <c r="A42" s="73" t="str">
        <f>IF(Calc!AM43&lt;&gt;"",Calc!AM43,"")</f>
        <v/>
      </c>
      <c r="B42" s="74">
        <f>IF(Calc!AN43&lt;&gt;"",Calc!AN43,"")</f>
        <v>0</v>
      </c>
      <c r="C42" s="74" t="str">
        <f ca="1">IF(Calc!AO43&lt;&gt;"",Calc!AO43,"")</f>
        <v/>
      </c>
      <c r="D42" s="75" t="str">
        <f ca="1">IF(Calc!AP43&lt;&gt;"",Calc!AP43,"")</f>
        <v/>
      </c>
      <c r="E42" s="77" t="str">
        <f ca="1">IF(Calc!AQ43&lt;&gt;"",Calc!AQ43,"")</f>
        <v/>
      </c>
      <c r="F42" s="79" t="str">
        <f>Calc!AU43</f>
        <v/>
      </c>
      <c r="G42" s="74">
        <f>Calc!AV43</f>
        <v>0</v>
      </c>
      <c r="H42" s="74" t="str">
        <f ca="1">Calc!AW43</f>
        <v/>
      </c>
      <c r="I42" s="75" t="str">
        <f ca="1">Calc!AX43</f>
        <v/>
      </c>
      <c r="J42" s="76" t="str">
        <f ca="1">Calc!AY43</f>
        <v/>
      </c>
      <c r="L42" s="13"/>
      <c r="M42" s="13"/>
      <c r="S42">
        <f t="shared" ca="1" si="7"/>
        <v>0</v>
      </c>
      <c r="T42">
        <f t="shared" ca="1" si="8"/>
        <v>2.003300000000007</v>
      </c>
      <c r="U42" s="200" t="s">
        <v>264</v>
      </c>
      <c r="V42">
        <f t="shared" ca="1" si="9"/>
        <v>0</v>
      </c>
      <c r="W42">
        <f t="shared" ca="1" si="10"/>
        <v>0</v>
      </c>
      <c r="X42">
        <f t="shared" ca="1" si="11"/>
        <v>0</v>
      </c>
      <c r="AB42">
        <f t="shared" si="3"/>
        <v>36</v>
      </c>
      <c r="AC42" s="189" t="str">
        <f t="shared" ca="1" si="4"/>
        <v/>
      </c>
      <c r="AD42" s="190" t="str">
        <f t="shared" ca="1" si="5"/>
        <v/>
      </c>
      <c r="AE42" s="191" t="str">
        <f t="shared" ca="1" si="1"/>
        <v/>
      </c>
      <c r="AF42" s="191" t="str">
        <f t="shared" ca="1" si="2"/>
        <v/>
      </c>
      <c r="AG42" s="191"/>
      <c r="AH42" s="192">
        <f t="shared" ca="1" si="6"/>
        <v>0</v>
      </c>
      <c r="AI42" s="233" t="str">
        <f t="shared" ca="1" si="12"/>
        <v/>
      </c>
    </row>
    <row r="43" spans="1:35" ht="15">
      <c r="A43" s="73" t="str">
        <f>IF(Calc!AM44&lt;&gt;"",Calc!AM44,"")</f>
        <v/>
      </c>
      <c r="B43" s="74">
        <f>IF(Calc!AN44&lt;&gt;"",Calc!AN44,"")</f>
        <v>0</v>
      </c>
      <c r="C43" s="74" t="str">
        <f ca="1">IF(Calc!AO44&lt;&gt;"",Calc!AO44,"")</f>
        <v/>
      </c>
      <c r="D43" s="75" t="str">
        <f ca="1">IF(Calc!AP44&lt;&gt;"",Calc!AP44,"")</f>
        <v/>
      </c>
      <c r="E43" s="77" t="str">
        <f ca="1">IF(Calc!AQ44&lt;&gt;"",Calc!AQ44,"")</f>
        <v/>
      </c>
      <c r="F43" s="79" t="str">
        <f>Calc!AU44</f>
        <v/>
      </c>
      <c r="G43" s="74">
        <f>Calc!AV44</f>
        <v>0</v>
      </c>
      <c r="H43" s="74" t="str">
        <f ca="1">Calc!AW44</f>
        <v/>
      </c>
      <c r="I43" s="75" t="str">
        <f ca="1">Calc!AX44</f>
        <v/>
      </c>
      <c r="J43" s="76" t="str">
        <f ca="1">Calc!AY44</f>
        <v/>
      </c>
      <c r="L43" s="13"/>
      <c r="M43" s="13"/>
      <c r="S43">
        <f t="shared" ca="1" si="7"/>
        <v>0</v>
      </c>
      <c r="T43">
        <f t="shared" ca="1" si="8"/>
        <v>2.0034000000000072</v>
      </c>
      <c r="U43" s="200" t="s">
        <v>264</v>
      </c>
      <c r="V43">
        <f t="shared" ca="1" si="9"/>
        <v>0</v>
      </c>
      <c r="W43">
        <f t="shared" ca="1" si="10"/>
        <v>0</v>
      </c>
      <c r="X43">
        <f t="shared" ca="1" si="11"/>
        <v>0</v>
      </c>
      <c r="AB43">
        <f t="shared" si="3"/>
        <v>37</v>
      </c>
      <c r="AC43" s="189" t="str">
        <f t="shared" ca="1" si="4"/>
        <v/>
      </c>
      <c r="AD43" s="190" t="str">
        <f t="shared" ca="1" si="5"/>
        <v/>
      </c>
      <c r="AE43" s="191" t="str">
        <f t="shared" ca="1" si="1"/>
        <v/>
      </c>
      <c r="AF43" s="191" t="str">
        <f t="shared" ca="1" si="2"/>
        <v/>
      </c>
      <c r="AG43" s="191"/>
      <c r="AH43" s="192">
        <f t="shared" ca="1" si="6"/>
        <v>0</v>
      </c>
      <c r="AI43" s="233" t="str">
        <f t="shared" ca="1" si="12"/>
        <v/>
      </c>
    </row>
    <row r="44" spans="1:35" ht="15">
      <c r="A44" s="73" t="str">
        <f>IF(Calc!AM45&lt;&gt;"",Calc!AM45,"")</f>
        <v/>
      </c>
      <c r="B44" s="74">
        <f>IF(Calc!AN45&lt;&gt;"",Calc!AN45,"")</f>
        <v>0</v>
      </c>
      <c r="C44" s="74" t="str">
        <f ca="1">IF(Calc!AO45&lt;&gt;"",Calc!AO45,"")</f>
        <v/>
      </c>
      <c r="D44" s="75" t="str">
        <f ca="1">IF(Calc!AP45&lt;&gt;"",Calc!AP45,"")</f>
        <v/>
      </c>
      <c r="E44" s="77" t="str">
        <f ca="1">IF(Calc!AQ45&lt;&gt;"",Calc!AQ45,"")</f>
        <v/>
      </c>
      <c r="F44" s="79" t="str">
        <f>Calc!AU45</f>
        <v/>
      </c>
      <c r="G44" s="74">
        <f>Calc!AV45</f>
        <v>0</v>
      </c>
      <c r="H44" s="74" t="str">
        <f ca="1">Calc!AW45</f>
        <v/>
      </c>
      <c r="I44" s="75" t="str">
        <f ca="1">Calc!AX45</f>
        <v/>
      </c>
      <c r="J44" s="76" t="str">
        <f ca="1">Calc!AY45</f>
        <v/>
      </c>
      <c r="L44" s="13"/>
      <c r="M44" s="13"/>
      <c r="S44">
        <f t="shared" ca="1" si="7"/>
        <v>0</v>
      </c>
      <c r="T44">
        <f t="shared" ca="1" si="8"/>
        <v>2.0035000000000074</v>
      </c>
      <c r="U44" s="200" t="s">
        <v>264</v>
      </c>
      <c r="V44">
        <f t="shared" ca="1" si="9"/>
        <v>0</v>
      </c>
      <c r="W44">
        <f t="shared" ca="1" si="10"/>
        <v>0</v>
      </c>
      <c r="X44">
        <f t="shared" ca="1" si="11"/>
        <v>0</v>
      </c>
      <c r="AB44">
        <f t="shared" si="3"/>
        <v>38</v>
      </c>
      <c r="AC44" s="189" t="str">
        <f t="shared" ca="1" si="4"/>
        <v/>
      </c>
      <c r="AD44" s="190" t="str">
        <f t="shared" ca="1" si="5"/>
        <v/>
      </c>
      <c r="AE44" s="191" t="str">
        <f t="shared" ca="1" si="1"/>
        <v/>
      </c>
      <c r="AF44" s="191" t="str">
        <f t="shared" ca="1" si="2"/>
        <v/>
      </c>
      <c r="AG44" s="191"/>
      <c r="AH44" s="192">
        <f t="shared" ca="1" si="6"/>
        <v>0</v>
      </c>
      <c r="AI44" s="233" t="str">
        <f t="shared" ca="1" si="12"/>
        <v/>
      </c>
    </row>
    <row r="45" spans="1:35" ht="15">
      <c r="A45" s="73" t="str">
        <f>IF(Calc!AM46&lt;&gt;"",Calc!AM46,"")</f>
        <v/>
      </c>
      <c r="B45" s="74">
        <f>IF(Calc!AN46&lt;&gt;"",Calc!AN46,"")</f>
        <v>0</v>
      </c>
      <c r="C45" s="74" t="str">
        <f ca="1">IF(Calc!AO46&lt;&gt;"",Calc!AO46,"")</f>
        <v/>
      </c>
      <c r="D45" s="75" t="str">
        <f ca="1">IF(Calc!AP46&lt;&gt;"",Calc!AP46,"")</f>
        <v/>
      </c>
      <c r="E45" s="77" t="str">
        <f ca="1">IF(Calc!AQ46&lt;&gt;"",Calc!AQ46,"")</f>
        <v/>
      </c>
      <c r="F45" s="79" t="str">
        <f>Calc!AU46</f>
        <v/>
      </c>
      <c r="G45" s="74">
        <f>Calc!AV46</f>
        <v>0</v>
      </c>
      <c r="H45" s="74" t="str">
        <f ca="1">Calc!AW46</f>
        <v/>
      </c>
      <c r="I45" s="75" t="str">
        <f ca="1">Calc!AX46</f>
        <v/>
      </c>
      <c r="J45" s="76" t="str">
        <f ca="1">Calc!AY46</f>
        <v/>
      </c>
      <c r="L45" s="13"/>
      <c r="M45" s="13"/>
      <c r="S45">
        <f t="shared" ca="1" si="7"/>
        <v>0</v>
      </c>
      <c r="T45">
        <f t="shared" ca="1" si="8"/>
        <v>2.0036000000000076</v>
      </c>
      <c r="U45" s="200" t="s">
        <v>264</v>
      </c>
      <c r="V45">
        <f t="shared" ca="1" si="9"/>
        <v>0</v>
      </c>
      <c r="W45">
        <f t="shared" ca="1" si="10"/>
        <v>0</v>
      </c>
      <c r="X45">
        <f t="shared" ca="1" si="11"/>
        <v>0</v>
      </c>
      <c r="AB45">
        <f t="shared" si="3"/>
        <v>39</v>
      </c>
      <c r="AC45" s="189" t="str">
        <f t="shared" ca="1" si="4"/>
        <v/>
      </c>
      <c r="AD45" s="190" t="str">
        <f t="shared" ca="1" si="5"/>
        <v/>
      </c>
      <c r="AE45" s="191" t="str">
        <f t="shared" ca="1" si="1"/>
        <v/>
      </c>
      <c r="AF45" s="191" t="str">
        <f t="shared" ca="1" si="2"/>
        <v/>
      </c>
      <c r="AG45" s="191"/>
      <c r="AH45" s="192">
        <f t="shared" ca="1" si="6"/>
        <v>0</v>
      </c>
      <c r="AI45" s="233" t="str">
        <f t="shared" ca="1" si="12"/>
        <v/>
      </c>
    </row>
    <row r="46" spans="1:35" ht="15">
      <c r="A46" s="73" t="str">
        <f>IF(Calc!AM47&lt;&gt;"",Calc!AM47,"")</f>
        <v/>
      </c>
      <c r="B46" s="74">
        <f>IF(Calc!AN47&lt;&gt;"",Calc!AN47,"")</f>
        <v>0</v>
      </c>
      <c r="C46" s="74" t="str">
        <f ca="1">IF(Calc!AO47&lt;&gt;"",Calc!AO47,"")</f>
        <v/>
      </c>
      <c r="D46" s="75" t="str">
        <f ca="1">IF(Calc!AP47&lt;&gt;"",Calc!AP47,"")</f>
        <v/>
      </c>
      <c r="E46" s="77" t="str">
        <f ca="1">IF(Calc!AQ47&lt;&gt;"",Calc!AQ47,"")</f>
        <v/>
      </c>
      <c r="F46" s="79" t="str">
        <f>Calc!AU47</f>
        <v/>
      </c>
      <c r="G46" s="74">
        <f>Calc!AV47</f>
        <v>0</v>
      </c>
      <c r="H46" s="74" t="str">
        <f ca="1">Calc!AW47</f>
        <v/>
      </c>
      <c r="I46" s="75" t="str">
        <f ca="1">Calc!AX47</f>
        <v/>
      </c>
      <c r="J46" s="76" t="str">
        <f ca="1">Calc!AY47</f>
        <v/>
      </c>
      <c r="L46" s="13"/>
      <c r="M46" s="13"/>
      <c r="S46">
        <f t="shared" ca="1" si="7"/>
        <v>0</v>
      </c>
      <c r="T46">
        <f t="shared" ca="1" si="8"/>
        <v>2.0037000000000078</v>
      </c>
      <c r="U46" s="200" t="s">
        <v>264</v>
      </c>
      <c r="V46">
        <f t="shared" ca="1" si="9"/>
        <v>0</v>
      </c>
      <c r="W46">
        <f t="shared" ca="1" si="10"/>
        <v>0</v>
      </c>
      <c r="X46">
        <f t="shared" ca="1" si="11"/>
        <v>0</v>
      </c>
      <c r="AB46">
        <f t="shared" si="3"/>
        <v>40</v>
      </c>
      <c r="AC46" s="189" t="str">
        <f t="shared" ca="1" si="4"/>
        <v/>
      </c>
      <c r="AD46" s="190" t="str">
        <f t="shared" ca="1" si="5"/>
        <v/>
      </c>
      <c r="AE46" s="191" t="str">
        <f t="shared" ca="1" si="1"/>
        <v/>
      </c>
      <c r="AF46" s="191" t="str">
        <f t="shared" ca="1" si="2"/>
        <v/>
      </c>
      <c r="AG46" s="191"/>
      <c r="AH46" s="192">
        <f t="shared" ca="1" si="6"/>
        <v>0</v>
      </c>
      <c r="AI46" s="233" t="str">
        <f t="shared" ca="1" si="12"/>
        <v/>
      </c>
    </row>
    <row r="47" spans="1:35" ht="15">
      <c r="A47" s="73" t="str">
        <f>IF(Calc!AM48&lt;&gt;"",Calc!AM48,"")</f>
        <v/>
      </c>
      <c r="B47" s="74">
        <f>IF(Calc!AN48&lt;&gt;"",Calc!AN48,"")</f>
        <v>0</v>
      </c>
      <c r="C47" s="74" t="str">
        <f ca="1">IF(Calc!AO48&lt;&gt;"",Calc!AO48,"")</f>
        <v/>
      </c>
      <c r="D47" s="75" t="str">
        <f ca="1">IF(Calc!AP48&lt;&gt;"",Calc!AP48,"")</f>
        <v/>
      </c>
      <c r="E47" s="77" t="str">
        <f ca="1">IF(Calc!AQ48&lt;&gt;"",Calc!AQ48,"")</f>
        <v/>
      </c>
      <c r="F47" s="79" t="str">
        <f>Calc!AU48</f>
        <v/>
      </c>
      <c r="G47" s="74">
        <f>Calc!AV48</f>
        <v>0</v>
      </c>
      <c r="H47" s="74" t="str">
        <f ca="1">Calc!AW48</f>
        <v/>
      </c>
      <c r="I47" s="75" t="str">
        <f ca="1">Calc!AX48</f>
        <v/>
      </c>
      <c r="J47" s="76" t="str">
        <f ca="1">Calc!AY48</f>
        <v/>
      </c>
      <c r="L47" s="13"/>
      <c r="M47" s="13"/>
      <c r="S47">
        <f t="shared" ca="1" si="7"/>
        <v>0</v>
      </c>
      <c r="T47">
        <f t="shared" ca="1" si="8"/>
        <v>2.003800000000008</v>
      </c>
      <c r="U47" s="200" t="s">
        <v>264</v>
      </c>
      <c r="V47">
        <f t="shared" ca="1" si="9"/>
        <v>0</v>
      </c>
      <c r="W47">
        <f t="shared" ca="1" si="10"/>
        <v>0</v>
      </c>
      <c r="X47">
        <f t="shared" ca="1" si="11"/>
        <v>0</v>
      </c>
      <c r="AB47">
        <f t="shared" si="3"/>
        <v>41</v>
      </c>
      <c r="AC47" s="189" t="str">
        <f t="shared" ca="1" si="4"/>
        <v/>
      </c>
      <c r="AD47" s="190" t="str">
        <f t="shared" ca="1" si="5"/>
        <v/>
      </c>
      <c r="AE47" s="191" t="str">
        <f t="shared" ca="1" si="1"/>
        <v/>
      </c>
      <c r="AF47" s="191" t="str">
        <f t="shared" ca="1" si="2"/>
        <v/>
      </c>
      <c r="AG47" s="191"/>
      <c r="AH47" s="192">
        <f t="shared" ca="1" si="6"/>
        <v>0</v>
      </c>
      <c r="AI47" s="233" t="str">
        <f t="shared" ca="1" si="12"/>
        <v/>
      </c>
    </row>
    <row r="48" spans="1:35" ht="15">
      <c r="A48" s="73" t="str">
        <f>IF(Calc!AM49&lt;&gt;"",Calc!AM49,"")</f>
        <v/>
      </c>
      <c r="B48" s="74">
        <f>IF(Calc!AN49&lt;&gt;"",Calc!AN49,"")</f>
        <v>0</v>
      </c>
      <c r="C48" s="74" t="str">
        <f ca="1">IF(Calc!AO49&lt;&gt;"",Calc!AO49,"")</f>
        <v/>
      </c>
      <c r="D48" s="75" t="str">
        <f ca="1">IF(Calc!AP49&lt;&gt;"",Calc!AP49,"")</f>
        <v/>
      </c>
      <c r="E48" s="77" t="str">
        <f ca="1">IF(Calc!AQ49&lt;&gt;"",Calc!AQ49,"")</f>
        <v/>
      </c>
      <c r="F48" s="79" t="str">
        <f>Calc!AU49</f>
        <v/>
      </c>
      <c r="G48" s="74">
        <f>Calc!AV49</f>
        <v>0</v>
      </c>
      <c r="H48" s="74" t="str">
        <f ca="1">Calc!AW49</f>
        <v/>
      </c>
      <c r="I48" s="75" t="str">
        <f ca="1">Calc!AX49</f>
        <v/>
      </c>
      <c r="J48" s="76" t="str">
        <f ca="1">Calc!AY49</f>
        <v/>
      </c>
      <c r="L48" s="13"/>
      <c r="M48" s="13"/>
      <c r="S48">
        <f t="shared" ca="1" si="7"/>
        <v>0</v>
      </c>
      <c r="T48">
        <f t="shared" ca="1" si="8"/>
        <v>2.0039000000000082</v>
      </c>
      <c r="U48" s="200" t="s">
        <v>264</v>
      </c>
      <c r="V48">
        <f t="shared" ca="1" si="9"/>
        <v>0</v>
      </c>
      <c r="W48">
        <f t="shared" ca="1" si="10"/>
        <v>0</v>
      </c>
      <c r="X48">
        <f t="shared" ca="1" si="11"/>
        <v>0</v>
      </c>
      <c r="AB48">
        <f t="shared" si="3"/>
        <v>42</v>
      </c>
      <c r="AC48" s="189" t="str">
        <f t="shared" ca="1" si="4"/>
        <v/>
      </c>
      <c r="AD48" s="190" t="str">
        <f t="shared" ca="1" si="5"/>
        <v/>
      </c>
      <c r="AE48" s="191" t="str">
        <f t="shared" ca="1" si="1"/>
        <v/>
      </c>
      <c r="AF48" s="191" t="str">
        <f t="shared" ca="1" si="2"/>
        <v/>
      </c>
      <c r="AG48" s="191"/>
      <c r="AH48" s="192">
        <f t="shared" ca="1" si="6"/>
        <v>0</v>
      </c>
      <c r="AI48" s="233" t="str">
        <f t="shared" ca="1" si="12"/>
        <v/>
      </c>
    </row>
    <row r="49" spans="1:35" ht="15">
      <c r="A49" s="73" t="str">
        <f>IF(Calc!AM50&lt;&gt;"",Calc!AM50,"")</f>
        <v/>
      </c>
      <c r="B49" s="74">
        <f>IF(Calc!AN50&lt;&gt;"",Calc!AN50,"")</f>
        <v>0</v>
      </c>
      <c r="C49" s="74" t="str">
        <f ca="1">IF(Calc!AO50&lt;&gt;"",Calc!AO50,"")</f>
        <v/>
      </c>
      <c r="D49" s="75" t="str">
        <f ca="1">IF(Calc!AP50&lt;&gt;"",Calc!AP50,"")</f>
        <v/>
      </c>
      <c r="E49" s="77" t="str">
        <f ca="1">IF(Calc!AQ50&lt;&gt;"",Calc!AQ50,"")</f>
        <v/>
      </c>
      <c r="F49" s="79" t="str">
        <f>Calc!AU50</f>
        <v/>
      </c>
      <c r="G49" s="74">
        <f>Calc!AV50</f>
        <v>0</v>
      </c>
      <c r="H49" s="74" t="str">
        <f ca="1">Calc!AW50</f>
        <v/>
      </c>
      <c r="I49" s="75" t="str">
        <f ca="1">Calc!AX50</f>
        <v/>
      </c>
      <c r="J49" s="76" t="str">
        <f ca="1">Calc!AY50</f>
        <v/>
      </c>
      <c r="L49" s="13"/>
      <c r="M49" s="13"/>
      <c r="S49">
        <f t="shared" ca="1" si="7"/>
        <v>0</v>
      </c>
      <c r="T49">
        <f t="shared" ca="1" si="8"/>
        <v>2.0040000000000084</v>
      </c>
      <c r="U49" s="200" t="s">
        <v>264</v>
      </c>
      <c r="V49">
        <f t="shared" ca="1" si="9"/>
        <v>0</v>
      </c>
      <c r="W49">
        <f t="shared" ca="1" si="10"/>
        <v>0</v>
      </c>
      <c r="X49">
        <f t="shared" ca="1" si="11"/>
        <v>0</v>
      </c>
      <c r="AB49">
        <f t="shared" si="3"/>
        <v>43</v>
      </c>
      <c r="AC49" s="189" t="str">
        <f t="shared" ca="1" si="4"/>
        <v/>
      </c>
      <c r="AD49" s="190" t="str">
        <f t="shared" ca="1" si="5"/>
        <v/>
      </c>
      <c r="AE49" s="191" t="str">
        <f t="shared" ca="1" si="1"/>
        <v/>
      </c>
      <c r="AF49" s="191" t="str">
        <f t="shared" ca="1" si="2"/>
        <v/>
      </c>
      <c r="AG49" s="191"/>
      <c r="AH49" s="192">
        <f t="shared" ca="1" si="6"/>
        <v>0</v>
      </c>
      <c r="AI49" s="233" t="str">
        <f t="shared" ca="1" si="12"/>
        <v/>
      </c>
    </row>
    <row r="50" spans="1:35" ht="15">
      <c r="A50" s="73" t="str">
        <f>IF(Calc!AM51&lt;&gt;"",Calc!AM51,"")</f>
        <v/>
      </c>
      <c r="B50" s="74">
        <f>IF(Calc!AN51&lt;&gt;"",Calc!AN51,"")</f>
        <v>0</v>
      </c>
      <c r="C50" s="74" t="str">
        <f ca="1">IF(Calc!AO51&lt;&gt;"",Calc!AO51,"")</f>
        <v/>
      </c>
      <c r="D50" s="75" t="str">
        <f ca="1">IF(Calc!AP51&lt;&gt;"",Calc!AP51,"")</f>
        <v/>
      </c>
      <c r="E50" s="77" t="str">
        <f ca="1">IF(Calc!AQ51&lt;&gt;"",Calc!AQ51,"")</f>
        <v/>
      </c>
      <c r="F50" s="79" t="str">
        <f>Calc!AU51</f>
        <v/>
      </c>
      <c r="G50" s="74">
        <f>Calc!AV51</f>
        <v>0</v>
      </c>
      <c r="H50" s="74" t="str">
        <f ca="1">Calc!AW51</f>
        <v/>
      </c>
      <c r="I50" s="75" t="str">
        <f ca="1">Calc!AX51</f>
        <v/>
      </c>
      <c r="J50" s="76" t="str">
        <f ca="1">Calc!AY51</f>
        <v/>
      </c>
      <c r="L50" s="13"/>
      <c r="M50" s="13"/>
      <c r="S50">
        <f t="shared" ca="1" si="7"/>
        <v>0</v>
      </c>
      <c r="T50">
        <f t="shared" ca="1" si="8"/>
        <v>2.0041000000000087</v>
      </c>
      <c r="U50" s="200" t="s">
        <v>264</v>
      </c>
      <c r="V50">
        <f t="shared" ca="1" si="9"/>
        <v>0</v>
      </c>
      <c r="W50">
        <f t="shared" ca="1" si="10"/>
        <v>0</v>
      </c>
      <c r="X50">
        <f t="shared" ca="1" si="11"/>
        <v>0</v>
      </c>
      <c r="AB50">
        <f t="shared" si="3"/>
        <v>44</v>
      </c>
      <c r="AC50" s="189" t="str">
        <f t="shared" ca="1" si="4"/>
        <v/>
      </c>
      <c r="AD50" s="190" t="str">
        <f t="shared" ca="1" si="5"/>
        <v/>
      </c>
      <c r="AE50" s="191" t="str">
        <f t="shared" ca="1" si="1"/>
        <v/>
      </c>
      <c r="AF50" s="191" t="str">
        <f t="shared" ca="1" si="2"/>
        <v/>
      </c>
      <c r="AG50" s="191"/>
      <c r="AH50" s="192">
        <f t="shared" ca="1" si="6"/>
        <v>0</v>
      </c>
      <c r="AI50" s="233" t="str">
        <f t="shared" ca="1" si="12"/>
        <v/>
      </c>
    </row>
    <row r="51" spans="1:35" ht="15">
      <c r="A51" s="73" t="str">
        <f>IF(Calc!AM52&lt;&gt;"",Calc!AM52,"")</f>
        <v/>
      </c>
      <c r="B51" s="74">
        <f>IF(Calc!AN52&lt;&gt;"",Calc!AN52,"")</f>
        <v>0</v>
      </c>
      <c r="C51" s="74" t="str">
        <f ca="1">IF(Calc!AO52&lt;&gt;"",Calc!AO52,"")</f>
        <v/>
      </c>
      <c r="D51" s="75" t="str">
        <f ca="1">IF(Calc!AP52&lt;&gt;"",Calc!AP52,"")</f>
        <v/>
      </c>
      <c r="E51" s="77" t="str">
        <f ca="1">IF(Calc!AQ52&lt;&gt;"",Calc!AQ52,"")</f>
        <v/>
      </c>
      <c r="F51" s="79" t="str">
        <f>Calc!AU52</f>
        <v/>
      </c>
      <c r="G51" s="74">
        <f>Calc!AV52</f>
        <v>0</v>
      </c>
      <c r="H51" s="74" t="str">
        <f ca="1">Calc!AW52</f>
        <v/>
      </c>
      <c r="I51" s="75" t="str">
        <f ca="1">Calc!AX52</f>
        <v/>
      </c>
      <c r="J51" s="76" t="str">
        <f ca="1">Calc!AY52</f>
        <v/>
      </c>
      <c r="L51" s="13"/>
      <c r="M51" s="13"/>
      <c r="S51">
        <f t="shared" ca="1" si="7"/>
        <v>0</v>
      </c>
      <c r="T51">
        <f t="shared" ca="1" si="8"/>
        <v>2.0042000000000089</v>
      </c>
      <c r="U51" s="200" t="s">
        <v>264</v>
      </c>
      <c r="V51">
        <f t="shared" ca="1" si="9"/>
        <v>0</v>
      </c>
      <c r="W51">
        <f t="shared" ca="1" si="10"/>
        <v>0</v>
      </c>
      <c r="X51">
        <f t="shared" ca="1" si="11"/>
        <v>0</v>
      </c>
      <c r="AB51">
        <f t="shared" si="3"/>
        <v>45</v>
      </c>
      <c r="AC51" s="189" t="str">
        <f t="shared" ca="1" si="4"/>
        <v/>
      </c>
      <c r="AD51" s="190" t="str">
        <f t="shared" ca="1" si="5"/>
        <v/>
      </c>
      <c r="AE51" s="191" t="str">
        <f t="shared" ca="1" si="1"/>
        <v/>
      </c>
      <c r="AF51" s="191" t="str">
        <f t="shared" ca="1" si="2"/>
        <v/>
      </c>
      <c r="AG51" s="191"/>
      <c r="AH51" s="192">
        <f t="shared" ca="1" si="6"/>
        <v>0</v>
      </c>
      <c r="AI51" s="233" t="str">
        <f t="shared" ca="1" si="12"/>
        <v/>
      </c>
    </row>
    <row r="52" spans="1:35" ht="15">
      <c r="A52" s="73" t="str">
        <f>IF(Calc!AM53&lt;&gt;"",Calc!AM53,"")</f>
        <v/>
      </c>
      <c r="B52" s="74">
        <f>IF(Calc!AN53&lt;&gt;"",Calc!AN53,"")</f>
        <v>0</v>
      </c>
      <c r="C52" s="74" t="str">
        <f ca="1">IF(Calc!AO53&lt;&gt;"",Calc!AO53,"")</f>
        <v/>
      </c>
      <c r="D52" s="75" t="str">
        <f ca="1">IF(Calc!AP53&lt;&gt;"",Calc!AP53,"")</f>
        <v/>
      </c>
      <c r="E52" s="77" t="str">
        <f ca="1">IF(Calc!AQ53&lt;&gt;"",Calc!AQ53,"")</f>
        <v/>
      </c>
      <c r="F52" s="79" t="str">
        <f>Calc!AU53</f>
        <v/>
      </c>
      <c r="G52" s="74">
        <f>Calc!AV53</f>
        <v>0</v>
      </c>
      <c r="H52" s="74" t="str">
        <f ca="1">Calc!AW53</f>
        <v/>
      </c>
      <c r="I52" s="75" t="str">
        <f ca="1">Calc!AX53</f>
        <v/>
      </c>
      <c r="J52" s="76" t="str">
        <f ca="1">Calc!AY53</f>
        <v/>
      </c>
      <c r="L52" s="13"/>
      <c r="M52" s="13"/>
      <c r="S52">
        <f t="shared" ca="1" si="7"/>
        <v>0</v>
      </c>
      <c r="T52">
        <f t="shared" ca="1" si="8"/>
        <v>2.0043000000000091</v>
      </c>
      <c r="U52" s="200" t="s">
        <v>264</v>
      </c>
      <c r="V52">
        <f t="shared" ca="1" si="9"/>
        <v>0</v>
      </c>
      <c r="W52">
        <f t="shared" ca="1" si="10"/>
        <v>0</v>
      </c>
      <c r="X52">
        <f t="shared" ca="1" si="11"/>
        <v>0</v>
      </c>
      <c r="AB52">
        <f t="shared" si="3"/>
        <v>46</v>
      </c>
      <c r="AC52" s="189" t="str">
        <f t="shared" ca="1" si="4"/>
        <v/>
      </c>
      <c r="AD52" s="190" t="str">
        <f t="shared" ca="1" si="5"/>
        <v/>
      </c>
      <c r="AE52" s="191" t="str">
        <f t="shared" ca="1" si="1"/>
        <v/>
      </c>
      <c r="AF52" s="191" t="str">
        <f t="shared" ca="1" si="2"/>
        <v/>
      </c>
      <c r="AG52" s="191"/>
      <c r="AH52" s="192">
        <f t="shared" ca="1" si="6"/>
        <v>0</v>
      </c>
      <c r="AI52" s="233" t="str">
        <f t="shared" ca="1" si="12"/>
        <v/>
      </c>
    </row>
    <row r="53" spans="1:35" ht="15">
      <c r="A53" s="73" t="str">
        <f>IF(Calc!AM54&lt;&gt;"",Calc!AM54,"")</f>
        <v/>
      </c>
      <c r="B53" s="74">
        <f>IF(Calc!AN54&lt;&gt;"",Calc!AN54,"")</f>
        <v>0</v>
      </c>
      <c r="C53" s="74" t="str">
        <f ca="1">IF(Calc!AO54&lt;&gt;"",Calc!AO54,"")</f>
        <v/>
      </c>
      <c r="D53" s="75" t="str">
        <f ca="1">IF(Calc!AP54&lt;&gt;"",Calc!AP54,"")</f>
        <v/>
      </c>
      <c r="E53" s="77" t="str">
        <f ca="1">IF(Calc!AQ54&lt;&gt;"",Calc!AQ54,"")</f>
        <v/>
      </c>
      <c r="F53" s="79" t="str">
        <f>Calc!AU54</f>
        <v/>
      </c>
      <c r="G53" s="74">
        <f>Calc!AV54</f>
        <v>0</v>
      </c>
      <c r="H53" s="74" t="str">
        <f ca="1">Calc!AW54</f>
        <v/>
      </c>
      <c r="I53" s="75" t="str">
        <f ca="1">Calc!AX54</f>
        <v/>
      </c>
      <c r="J53" s="76" t="str">
        <f ca="1">Calc!AY54</f>
        <v/>
      </c>
      <c r="L53" s="13"/>
      <c r="M53" s="13"/>
      <c r="S53">
        <f t="shared" ca="1" si="7"/>
        <v>0</v>
      </c>
      <c r="T53">
        <f t="shared" ca="1" si="8"/>
        <v>2.0044000000000093</v>
      </c>
      <c r="U53" s="200" t="s">
        <v>264</v>
      </c>
      <c r="V53">
        <f t="shared" ca="1" si="9"/>
        <v>0</v>
      </c>
      <c r="W53">
        <f t="shared" ca="1" si="10"/>
        <v>0</v>
      </c>
      <c r="X53">
        <f t="shared" ca="1" si="11"/>
        <v>0</v>
      </c>
      <c r="AB53">
        <f t="shared" si="3"/>
        <v>47</v>
      </c>
      <c r="AC53" s="189" t="str">
        <f t="shared" ca="1" si="4"/>
        <v/>
      </c>
      <c r="AD53" s="190" t="str">
        <f t="shared" ca="1" si="5"/>
        <v/>
      </c>
      <c r="AE53" s="191" t="str">
        <f t="shared" ca="1" si="1"/>
        <v/>
      </c>
      <c r="AF53" s="191" t="str">
        <f t="shared" ca="1" si="2"/>
        <v/>
      </c>
      <c r="AG53" s="191"/>
      <c r="AH53" s="192">
        <f t="shared" ca="1" si="6"/>
        <v>0</v>
      </c>
      <c r="AI53" s="233" t="str">
        <f t="shared" ca="1" si="12"/>
        <v/>
      </c>
    </row>
    <row r="54" spans="1:35" ht="15">
      <c r="A54" s="73" t="str">
        <f>IF(Calc!AM55&lt;&gt;"",Calc!AM55,"")</f>
        <v/>
      </c>
      <c r="B54" s="74">
        <f>IF(Calc!AN55&lt;&gt;"",Calc!AN55,"")</f>
        <v>0</v>
      </c>
      <c r="C54" s="74" t="str">
        <f ca="1">IF(Calc!AO55&lt;&gt;"",Calc!AO55,"")</f>
        <v/>
      </c>
      <c r="D54" s="75" t="str">
        <f ca="1">IF(Calc!AP55&lt;&gt;"",Calc!AP55,"")</f>
        <v/>
      </c>
      <c r="E54" s="77" t="str">
        <f ca="1">IF(Calc!AQ55&lt;&gt;"",Calc!AQ55,"")</f>
        <v/>
      </c>
      <c r="F54" s="79" t="str">
        <f>Calc!AU55</f>
        <v/>
      </c>
      <c r="G54" s="74">
        <f>Calc!AV55</f>
        <v>0</v>
      </c>
      <c r="H54" s="74" t="str">
        <f ca="1">Calc!AW55</f>
        <v/>
      </c>
      <c r="I54" s="75" t="str">
        <f ca="1">Calc!AX55</f>
        <v/>
      </c>
      <c r="J54" s="76" t="str">
        <f ca="1">Calc!AY55</f>
        <v/>
      </c>
      <c r="L54" s="13"/>
      <c r="M54" s="13"/>
      <c r="S54">
        <f t="shared" ca="1" si="7"/>
        <v>0</v>
      </c>
      <c r="T54">
        <f t="shared" ca="1" si="8"/>
        <v>2.0045000000000095</v>
      </c>
      <c r="U54" s="200" t="s">
        <v>264</v>
      </c>
      <c r="V54">
        <f t="shared" ca="1" si="9"/>
        <v>0</v>
      </c>
      <c r="W54">
        <f t="shared" ca="1" si="10"/>
        <v>0</v>
      </c>
      <c r="X54">
        <f t="shared" ca="1" si="11"/>
        <v>0</v>
      </c>
      <c r="AB54">
        <f t="shared" si="3"/>
        <v>48</v>
      </c>
      <c r="AC54" s="189" t="str">
        <f t="shared" ca="1" si="4"/>
        <v/>
      </c>
      <c r="AD54" s="190" t="str">
        <f t="shared" ca="1" si="5"/>
        <v/>
      </c>
      <c r="AE54" s="191" t="str">
        <f t="shared" ca="1" si="1"/>
        <v/>
      </c>
      <c r="AF54" s="191" t="str">
        <f t="shared" ca="1" si="2"/>
        <v/>
      </c>
      <c r="AG54" s="191"/>
      <c r="AH54" s="192">
        <f t="shared" ca="1" si="6"/>
        <v>0</v>
      </c>
      <c r="AI54" s="233" t="str">
        <f t="shared" ca="1" si="12"/>
        <v/>
      </c>
    </row>
    <row r="55" spans="1:35" ht="15">
      <c r="A55" s="73" t="str">
        <f>IF(Calc!AM56&lt;&gt;"",Calc!AM56,"")</f>
        <v/>
      </c>
      <c r="B55" s="74">
        <f>IF(Calc!AN56&lt;&gt;"",Calc!AN56,"")</f>
        <v>0</v>
      </c>
      <c r="C55" s="74" t="str">
        <f ca="1">IF(Calc!AO56&lt;&gt;"",Calc!AO56,"")</f>
        <v/>
      </c>
      <c r="D55" s="75" t="str">
        <f ca="1">IF(Calc!AP56&lt;&gt;"",Calc!AP56,"")</f>
        <v/>
      </c>
      <c r="E55" s="77" t="str">
        <f ca="1">IF(Calc!AQ56&lt;&gt;"",Calc!AQ56,"")</f>
        <v/>
      </c>
      <c r="F55" s="79" t="str">
        <f>Calc!AU56</f>
        <v/>
      </c>
      <c r="G55" s="74">
        <f>Calc!AV56</f>
        <v>0</v>
      </c>
      <c r="H55" s="74" t="str">
        <f ca="1">Calc!AW56</f>
        <v/>
      </c>
      <c r="I55" s="75" t="str">
        <f ca="1">Calc!AX56</f>
        <v/>
      </c>
      <c r="J55" s="76" t="str">
        <f ca="1">Calc!AY56</f>
        <v/>
      </c>
      <c r="L55" s="13"/>
      <c r="M55" s="13"/>
      <c r="S55">
        <f t="shared" ca="1" si="7"/>
        <v>0</v>
      </c>
      <c r="T55">
        <f t="shared" ca="1" si="8"/>
        <v>2.0046000000000097</v>
      </c>
      <c r="U55" s="200" t="s">
        <v>264</v>
      </c>
      <c r="V55">
        <f t="shared" ca="1" si="9"/>
        <v>0</v>
      </c>
      <c r="W55">
        <f t="shared" ca="1" si="10"/>
        <v>0</v>
      </c>
      <c r="X55">
        <f t="shared" ca="1" si="11"/>
        <v>0</v>
      </c>
      <c r="AB55">
        <f t="shared" si="3"/>
        <v>49</v>
      </c>
      <c r="AC55" s="189" t="str">
        <f t="shared" ca="1" si="4"/>
        <v/>
      </c>
      <c r="AD55" s="190" t="str">
        <f t="shared" ca="1" si="5"/>
        <v/>
      </c>
      <c r="AE55" s="191" t="str">
        <f t="shared" ca="1" si="1"/>
        <v/>
      </c>
      <c r="AF55" s="191" t="str">
        <f t="shared" ca="1" si="2"/>
        <v/>
      </c>
      <c r="AG55" s="191"/>
      <c r="AH55" s="192">
        <f t="shared" ca="1" si="6"/>
        <v>0</v>
      </c>
      <c r="AI55" s="233" t="str">
        <f t="shared" ca="1" si="12"/>
        <v/>
      </c>
    </row>
    <row r="56" spans="1:35" ht="15">
      <c r="A56" s="73" t="str">
        <f>IF(Calc!AM57&lt;&gt;"",Calc!AM57,"")</f>
        <v/>
      </c>
      <c r="B56" s="74">
        <f>IF(Calc!AN57&lt;&gt;"",Calc!AN57,"")</f>
        <v>0</v>
      </c>
      <c r="C56" s="74" t="str">
        <f ca="1">IF(Calc!AO57&lt;&gt;"",Calc!AO57,"")</f>
        <v/>
      </c>
      <c r="D56" s="75" t="str">
        <f ca="1">IF(Calc!AP57&lt;&gt;"",Calc!AP57,"")</f>
        <v/>
      </c>
      <c r="E56" s="77" t="str">
        <f ca="1">IF(Calc!AQ57&lt;&gt;"",Calc!AQ57,"")</f>
        <v/>
      </c>
      <c r="F56" s="79" t="str">
        <f>Calc!AU57</f>
        <v/>
      </c>
      <c r="G56" s="74">
        <f>Calc!AV57</f>
        <v>0</v>
      </c>
      <c r="H56" s="74" t="str">
        <f ca="1">Calc!AW57</f>
        <v/>
      </c>
      <c r="I56" s="75" t="str">
        <f ca="1">Calc!AX57</f>
        <v/>
      </c>
      <c r="J56" s="76" t="str">
        <f ca="1">Calc!AY57</f>
        <v/>
      </c>
      <c r="L56" s="13"/>
      <c r="M56" s="13"/>
      <c r="S56">
        <f t="shared" ca="1" si="7"/>
        <v>0</v>
      </c>
      <c r="T56">
        <f t="shared" ca="1" si="8"/>
        <v>2.0047000000000099</v>
      </c>
      <c r="U56" s="200" t="s">
        <v>264</v>
      </c>
      <c r="V56">
        <f t="shared" ca="1" si="9"/>
        <v>0</v>
      </c>
      <c r="W56">
        <f t="shared" ca="1" si="10"/>
        <v>0</v>
      </c>
      <c r="X56">
        <f t="shared" ca="1" si="11"/>
        <v>0</v>
      </c>
      <c r="AB56">
        <f t="shared" si="3"/>
        <v>50</v>
      </c>
      <c r="AC56" s="189" t="str">
        <f t="shared" ca="1" si="4"/>
        <v/>
      </c>
      <c r="AD56" s="190" t="str">
        <f t="shared" ca="1" si="5"/>
        <v/>
      </c>
      <c r="AE56" s="191" t="str">
        <f t="shared" ca="1" si="1"/>
        <v/>
      </c>
      <c r="AF56" s="191" t="str">
        <f t="shared" ca="1" si="2"/>
        <v/>
      </c>
      <c r="AG56" s="191"/>
      <c r="AH56" s="192">
        <f t="shared" ca="1" si="6"/>
        <v>0</v>
      </c>
      <c r="AI56" s="233" t="str">
        <f t="shared" ca="1" si="12"/>
        <v/>
      </c>
    </row>
    <row r="57" spans="1:35" ht="15">
      <c r="A57" s="73" t="str">
        <f>IF(Calc!AM58&lt;&gt;"",Calc!AM58,"")</f>
        <v/>
      </c>
      <c r="B57" s="74">
        <f>IF(Calc!AN58&lt;&gt;"",Calc!AN58,"")</f>
        <v>0</v>
      </c>
      <c r="C57" s="74" t="str">
        <f ca="1">IF(Calc!AO58&lt;&gt;"",Calc!AO58,"")</f>
        <v/>
      </c>
      <c r="D57" s="75" t="str">
        <f ca="1">IF(Calc!AP58&lt;&gt;"",Calc!AP58,"")</f>
        <v/>
      </c>
      <c r="E57" s="77" t="str">
        <f ca="1">IF(Calc!AQ58&lt;&gt;"",Calc!AQ58,"")</f>
        <v/>
      </c>
      <c r="F57" s="79" t="str">
        <f>Calc!AU58</f>
        <v/>
      </c>
      <c r="G57" s="74">
        <f>Calc!AV58</f>
        <v>0</v>
      </c>
      <c r="H57" s="74" t="str">
        <f ca="1">Calc!AW58</f>
        <v/>
      </c>
      <c r="I57" s="75" t="str">
        <f ca="1">Calc!AX58</f>
        <v/>
      </c>
      <c r="J57" s="76" t="str">
        <f ca="1">Calc!AY58</f>
        <v/>
      </c>
      <c r="L57" s="13"/>
      <c r="M57" s="13"/>
      <c r="S57">
        <f t="shared" ca="1" si="7"/>
        <v>0</v>
      </c>
      <c r="T57">
        <f t="shared" ca="1" si="8"/>
        <v>2.0048000000000101</v>
      </c>
      <c r="U57" s="200" t="s">
        <v>264</v>
      </c>
      <c r="V57">
        <f t="shared" ca="1" si="9"/>
        <v>0</v>
      </c>
      <c r="W57">
        <f t="shared" ca="1" si="10"/>
        <v>0</v>
      </c>
      <c r="X57">
        <f t="shared" ca="1" si="11"/>
        <v>0</v>
      </c>
      <c r="AB57">
        <f t="shared" si="3"/>
        <v>51</v>
      </c>
      <c r="AC57" s="189" t="str">
        <f t="shared" ca="1" si="4"/>
        <v/>
      </c>
      <c r="AD57" s="190" t="str">
        <f t="shared" ca="1" si="5"/>
        <v/>
      </c>
      <c r="AE57" s="191" t="str">
        <f t="shared" ca="1" si="1"/>
        <v/>
      </c>
      <c r="AF57" s="191" t="str">
        <f t="shared" ca="1" si="2"/>
        <v/>
      </c>
      <c r="AG57" s="191"/>
      <c r="AH57" s="192">
        <f t="shared" ca="1" si="6"/>
        <v>0</v>
      </c>
      <c r="AI57" s="233" t="str">
        <f t="shared" ca="1" si="12"/>
        <v/>
      </c>
    </row>
    <row r="58" spans="1:35" ht="15">
      <c r="A58" s="73" t="str">
        <f>IF(Calc!AM59&lt;&gt;"",Calc!AM59,"")</f>
        <v/>
      </c>
      <c r="B58" s="74">
        <f>IF(Calc!AN59&lt;&gt;"",Calc!AN59,"")</f>
        <v>0</v>
      </c>
      <c r="C58" s="74" t="str">
        <f ca="1">IF(Calc!AO59&lt;&gt;"",Calc!AO59,"")</f>
        <v/>
      </c>
      <c r="D58" s="75" t="str">
        <f ca="1">IF(Calc!AP59&lt;&gt;"",Calc!AP59,"")</f>
        <v/>
      </c>
      <c r="E58" s="77" t="str">
        <f ca="1">IF(Calc!AQ59&lt;&gt;"",Calc!AQ59,"")</f>
        <v/>
      </c>
      <c r="F58" s="79" t="str">
        <f>Calc!AU59</f>
        <v/>
      </c>
      <c r="G58" s="74">
        <f>Calc!AV59</f>
        <v>0</v>
      </c>
      <c r="H58" s="74" t="str">
        <f ca="1">Calc!AW59</f>
        <v/>
      </c>
      <c r="I58" s="75" t="str">
        <f ca="1">Calc!AX59</f>
        <v/>
      </c>
      <c r="J58" s="76" t="str">
        <f ca="1">Calc!AY59</f>
        <v/>
      </c>
      <c r="L58" s="13"/>
      <c r="M58" s="13"/>
      <c r="S58">
        <f t="shared" ca="1" si="7"/>
        <v>0</v>
      </c>
      <c r="T58">
        <f t="shared" ca="1" si="8"/>
        <v>2.0049000000000103</v>
      </c>
      <c r="U58" s="200" t="s">
        <v>264</v>
      </c>
      <c r="V58">
        <f t="shared" ca="1" si="9"/>
        <v>0</v>
      </c>
      <c r="W58">
        <f t="shared" ca="1" si="10"/>
        <v>0</v>
      </c>
      <c r="X58">
        <f t="shared" ca="1" si="11"/>
        <v>0</v>
      </c>
      <c r="AB58">
        <f t="shared" si="3"/>
        <v>52</v>
      </c>
      <c r="AC58" s="189" t="str">
        <f t="shared" ca="1" si="4"/>
        <v/>
      </c>
      <c r="AD58" s="190" t="str">
        <f t="shared" ca="1" si="5"/>
        <v/>
      </c>
      <c r="AE58" s="191" t="str">
        <f t="shared" ca="1" si="1"/>
        <v/>
      </c>
      <c r="AF58" s="191" t="str">
        <f t="shared" ca="1" si="2"/>
        <v/>
      </c>
      <c r="AG58" s="191"/>
      <c r="AH58" s="192">
        <f t="shared" ca="1" si="6"/>
        <v>0</v>
      </c>
      <c r="AI58" s="233" t="str">
        <f t="shared" ca="1" si="12"/>
        <v/>
      </c>
    </row>
    <row r="59" spans="1:35" ht="15">
      <c r="A59" s="73" t="str">
        <f>IF(Calc!AM60&lt;&gt;"",Calc!AM60,"")</f>
        <v/>
      </c>
      <c r="B59" s="74">
        <f>IF(Calc!AN60&lt;&gt;"",Calc!AN60,"")</f>
        <v>0</v>
      </c>
      <c r="C59" s="74" t="str">
        <f ca="1">IF(Calc!AO60&lt;&gt;"",Calc!AO60,"")</f>
        <v/>
      </c>
      <c r="D59" s="75" t="str">
        <f ca="1">IF(Calc!AP60&lt;&gt;"",Calc!AP60,"")</f>
        <v/>
      </c>
      <c r="E59" s="77" t="str">
        <f ca="1">IF(Calc!AQ60&lt;&gt;"",Calc!AQ60,"")</f>
        <v/>
      </c>
      <c r="F59" s="79" t="str">
        <f>Calc!AU60</f>
        <v/>
      </c>
      <c r="G59" s="74">
        <f>Calc!AV60</f>
        <v>0</v>
      </c>
      <c r="H59" s="74" t="str">
        <f ca="1">Calc!AW60</f>
        <v/>
      </c>
      <c r="I59" s="75" t="str">
        <f ca="1">Calc!AX60</f>
        <v/>
      </c>
      <c r="J59" s="76" t="str">
        <f ca="1">Calc!AY60</f>
        <v/>
      </c>
      <c r="L59" s="13"/>
      <c r="M59" s="13"/>
      <c r="S59">
        <f t="shared" ca="1" si="7"/>
        <v>0</v>
      </c>
      <c r="T59">
        <f t="shared" ca="1" si="8"/>
        <v>2.0050000000000106</v>
      </c>
      <c r="U59" s="200" t="s">
        <v>264</v>
      </c>
      <c r="V59">
        <f t="shared" ca="1" si="9"/>
        <v>0</v>
      </c>
      <c r="W59">
        <f t="shared" ca="1" si="10"/>
        <v>0</v>
      </c>
      <c r="X59">
        <f t="shared" ca="1" si="11"/>
        <v>0</v>
      </c>
      <c r="AB59">
        <f t="shared" si="3"/>
        <v>53</v>
      </c>
      <c r="AC59" s="189" t="str">
        <f t="shared" ca="1" si="4"/>
        <v/>
      </c>
      <c r="AD59" s="190" t="str">
        <f t="shared" ca="1" si="5"/>
        <v/>
      </c>
      <c r="AE59" s="191" t="str">
        <f t="shared" ca="1" si="1"/>
        <v/>
      </c>
      <c r="AF59" s="191" t="str">
        <f t="shared" ca="1" si="2"/>
        <v/>
      </c>
      <c r="AG59" s="191"/>
      <c r="AH59" s="192">
        <f t="shared" ca="1" si="6"/>
        <v>0</v>
      </c>
      <c r="AI59" s="233" t="str">
        <f t="shared" ca="1" si="12"/>
        <v/>
      </c>
    </row>
    <row r="60" spans="1:35" ht="15">
      <c r="A60" s="73" t="str">
        <f>IF(Calc!AM61&lt;&gt;"",Calc!AM61,"")</f>
        <v/>
      </c>
      <c r="B60" s="74">
        <f>IF(Calc!AN61&lt;&gt;"",Calc!AN61,"")</f>
        <v>0</v>
      </c>
      <c r="C60" s="74" t="str">
        <f ca="1">IF(Calc!AO61&lt;&gt;"",Calc!AO61,"")</f>
        <v/>
      </c>
      <c r="D60" s="75" t="str">
        <f ca="1">IF(Calc!AP61&lt;&gt;"",Calc!AP61,"")</f>
        <v/>
      </c>
      <c r="E60" s="77" t="str">
        <f ca="1">IF(Calc!AQ61&lt;&gt;"",Calc!AQ61,"")</f>
        <v/>
      </c>
      <c r="F60" s="79" t="str">
        <f>Calc!AU61</f>
        <v/>
      </c>
      <c r="G60" s="74">
        <f>Calc!AV61</f>
        <v>0</v>
      </c>
      <c r="H60" s="74" t="str">
        <f ca="1">Calc!AW61</f>
        <v/>
      </c>
      <c r="I60" s="75" t="str">
        <f ca="1">Calc!AX61</f>
        <v/>
      </c>
      <c r="J60" s="76" t="str">
        <f ca="1">Calc!AY61</f>
        <v/>
      </c>
      <c r="L60" s="13"/>
      <c r="M60" s="13"/>
      <c r="S60">
        <f t="shared" ca="1" si="7"/>
        <v>0</v>
      </c>
      <c r="T60">
        <f t="shared" ca="1" si="8"/>
        <v>2.0051000000000108</v>
      </c>
      <c r="U60" s="200" t="s">
        <v>264</v>
      </c>
      <c r="V60">
        <f t="shared" ca="1" si="9"/>
        <v>0</v>
      </c>
      <c r="W60">
        <f t="shared" ca="1" si="10"/>
        <v>0</v>
      </c>
      <c r="X60">
        <f t="shared" ca="1" si="11"/>
        <v>0</v>
      </c>
      <c r="AB60">
        <f t="shared" si="3"/>
        <v>54</v>
      </c>
      <c r="AC60" s="189" t="str">
        <f t="shared" ca="1" si="4"/>
        <v/>
      </c>
      <c r="AD60" s="190" t="str">
        <f t="shared" ca="1" si="5"/>
        <v/>
      </c>
      <c r="AE60" s="191" t="str">
        <f t="shared" ca="1" si="1"/>
        <v/>
      </c>
      <c r="AF60" s="191" t="str">
        <f t="shared" ca="1" si="2"/>
        <v/>
      </c>
      <c r="AG60" s="191"/>
      <c r="AH60" s="192">
        <f t="shared" ca="1" si="6"/>
        <v>0</v>
      </c>
      <c r="AI60" s="233" t="str">
        <f t="shared" ca="1" si="12"/>
        <v/>
      </c>
    </row>
    <row r="61" spans="1:35" ht="15">
      <c r="A61" s="73" t="str">
        <f>IF(Calc!AM62&lt;&gt;"",Calc!AM62,"")</f>
        <v/>
      </c>
      <c r="B61" s="74">
        <f>IF(Calc!AN62&lt;&gt;"",Calc!AN62,"")</f>
        <v>0</v>
      </c>
      <c r="C61" s="74" t="str">
        <f ca="1">IF(Calc!AO62&lt;&gt;"",Calc!AO62,"")</f>
        <v/>
      </c>
      <c r="D61" s="75" t="str">
        <f ca="1">IF(Calc!AP62&lt;&gt;"",Calc!AP62,"")</f>
        <v/>
      </c>
      <c r="E61" s="77" t="str">
        <f ca="1">IF(Calc!AQ62&lt;&gt;"",Calc!AQ62,"")</f>
        <v/>
      </c>
      <c r="F61" s="79" t="str">
        <f>Calc!AU62</f>
        <v/>
      </c>
      <c r="G61" s="74">
        <f>Calc!AV62</f>
        <v>0</v>
      </c>
      <c r="H61" s="74" t="str">
        <f ca="1">Calc!AW62</f>
        <v/>
      </c>
      <c r="I61" s="75" t="str">
        <f ca="1">Calc!AX62</f>
        <v/>
      </c>
      <c r="J61" s="76" t="str">
        <f ca="1">Calc!AY62</f>
        <v/>
      </c>
      <c r="S61">
        <f t="shared" ca="1" si="7"/>
        <v>0</v>
      </c>
      <c r="T61">
        <f t="shared" ca="1" si="8"/>
        <v>2.005200000000011</v>
      </c>
      <c r="U61" s="200" t="s">
        <v>264</v>
      </c>
      <c r="V61">
        <f t="shared" ca="1" si="9"/>
        <v>0</v>
      </c>
      <c r="W61">
        <f t="shared" ca="1" si="10"/>
        <v>0</v>
      </c>
      <c r="X61">
        <f t="shared" ca="1" si="11"/>
        <v>0</v>
      </c>
      <c r="AB61">
        <f t="shared" si="3"/>
        <v>55</v>
      </c>
      <c r="AC61" s="189" t="str">
        <f t="shared" ca="1" si="4"/>
        <v/>
      </c>
      <c r="AD61" s="190" t="str">
        <f t="shared" ca="1" si="5"/>
        <v/>
      </c>
      <c r="AE61" s="191" t="str">
        <f t="shared" ca="1" si="1"/>
        <v/>
      </c>
      <c r="AF61" s="191" t="str">
        <f t="shared" ca="1" si="2"/>
        <v/>
      </c>
      <c r="AG61" s="191"/>
      <c r="AH61" s="192">
        <f t="shared" ca="1" si="6"/>
        <v>0</v>
      </c>
      <c r="AI61" s="233" t="str">
        <f t="shared" ca="1" si="12"/>
        <v/>
      </c>
    </row>
    <row r="62" spans="1:35" ht="15">
      <c r="A62" s="73" t="str">
        <f>IF(Calc!AM63&lt;&gt;"",Calc!AM63,"")</f>
        <v/>
      </c>
      <c r="B62" s="74">
        <f>IF(Calc!AN63&lt;&gt;"",Calc!AN63,"")</f>
        <v>0</v>
      </c>
      <c r="C62" s="74" t="str">
        <f ca="1">IF(Calc!AO63&lt;&gt;"",Calc!AO63,"")</f>
        <v/>
      </c>
      <c r="D62" s="75" t="str">
        <f ca="1">IF(Calc!AP63&lt;&gt;"",Calc!AP63,"")</f>
        <v/>
      </c>
      <c r="E62" s="77" t="str">
        <f ca="1">IF(Calc!AQ63&lt;&gt;"",Calc!AQ63,"")</f>
        <v/>
      </c>
      <c r="F62" s="79" t="str">
        <f>Calc!AU63</f>
        <v/>
      </c>
      <c r="G62" s="74">
        <f>Calc!AV63</f>
        <v>0</v>
      </c>
      <c r="H62" s="74" t="str">
        <f ca="1">Calc!AW63</f>
        <v/>
      </c>
      <c r="I62" s="75" t="str">
        <f ca="1">Calc!AX63</f>
        <v/>
      </c>
      <c r="J62" s="76" t="str">
        <f ca="1">Calc!AY63</f>
        <v/>
      </c>
      <c r="S62">
        <f t="shared" ca="1" si="7"/>
        <v>0</v>
      </c>
      <c r="T62">
        <f t="shared" ca="1" si="8"/>
        <v>2.0053000000000112</v>
      </c>
      <c r="U62" s="200" t="s">
        <v>264</v>
      </c>
      <c r="V62">
        <f t="shared" ca="1" si="9"/>
        <v>0</v>
      </c>
      <c r="W62">
        <f t="shared" ca="1" si="10"/>
        <v>0</v>
      </c>
      <c r="X62">
        <f t="shared" ca="1" si="11"/>
        <v>0</v>
      </c>
      <c r="AB62">
        <f t="shared" si="3"/>
        <v>56</v>
      </c>
      <c r="AC62" s="189" t="str">
        <f t="shared" ca="1" si="4"/>
        <v/>
      </c>
      <c r="AD62" s="190" t="str">
        <f t="shared" ca="1" si="5"/>
        <v/>
      </c>
      <c r="AE62" s="191" t="str">
        <f t="shared" ca="1" si="1"/>
        <v/>
      </c>
      <c r="AF62" s="191" t="str">
        <f t="shared" ca="1" si="2"/>
        <v/>
      </c>
      <c r="AG62" s="191"/>
      <c r="AH62" s="192">
        <f t="shared" ca="1" si="6"/>
        <v>0</v>
      </c>
      <c r="AI62" s="233" t="str">
        <f t="shared" ca="1" si="12"/>
        <v/>
      </c>
    </row>
    <row r="63" spans="1:35" ht="15">
      <c r="A63" s="73" t="str">
        <f>IF(Calc!AM64&lt;&gt;"",Calc!AM64,"")</f>
        <v/>
      </c>
      <c r="B63" s="74">
        <f>IF(Calc!AN64&lt;&gt;"",Calc!AN64,"")</f>
        <v>0</v>
      </c>
      <c r="C63" s="74" t="str">
        <f ca="1">IF(Calc!AO64&lt;&gt;"",Calc!AO64,"")</f>
        <v/>
      </c>
      <c r="D63" s="75" t="str">
        <f ca="1">IF(Calc!AP64&lt;&gt;"",Calc!AP64,"")</f>
        <v/>
      </c>
      <c r="E63" s="77" t="str">
        <f ca="1">IF(Calc!AQ64&lt;&gt;"",Calc!AQ64,"")</f>
        <v/>
      </c>
      <c r="F63" s="79" t="str">
        <f>Calc!AU64</f>
        <v/>
      </c>
      <c r="G63" s="74">
        <f>Calc!AV64</f>
        <v>0</v>
      </c>
      <c r="H63" s="74" t="str">
        <f ca="1">Calc!AW64</f>
        <v/>
      </c>
      <c r="I63" s="75" t="str">
        <f ca="1">Calc!AX64</f>
        <v/>
      </c>
      <c r="J63" s="76" t="str">
        <f ca="1">Calc!AY64</f>
        <v/>
      </c>
      <c r="S63">
        <f t="shared" ca="1" si="7"/>
        <v>0</v>
      </c>
      <c r="T63">
        <f t="shared" ca="1" si="8"/>
        <v>2.0054000000000114</v>
      </c>
      <c r="U63" s="200" t="s">
        <v>264</v>
      </c>
      <c r="V63">
        <f t="shared" ca="1" si="9"/>
        <v>0</v>
      </c>
      <c r="W63">
        <f t="shared" ca="1" si="10"/>
        <v>0</v>
      </c>
      <c r="X63">
        <f t="shared" ca="1" si="11"/>
        <v>0</v>
      </c>
      <c r="AB63">
        <f t="shared" si="3"/>
        <v>57</v>
      </c>
      <c r="AC63" s="189" t="str">
        <f t="shared" ca="1" si="4"/>
        <v/>
      </c>
      <c r="AD63" s="190" t="str">
        <f t="shared" ca="1" si="5"/>
        <v/>
      </c>
      <c r="AE63" s="191" t="str">
        <f t="shared" ca="1" si="1"/>
        <v/>
      </c>
      <c r="AF63" s="191" t="str">
        <f t="shared" ca="1" si="2"/>
        <v/>
      </c>
      <c r="AG63" s="191"/>
      <c r="AH63" s="192">
        <f t="shared" ca="1" si="6"/>
        <v>0</v>
      </c>
      <c r="AI63" s="233" t="str">
        <f t="shared" ca="1" si="12"/>
        <v/>
      </c>
    </row>
    <row r="64" spans="1:35" ht="15">
      <c r="A64" s="73" t="str">
        <f>IF(Calc!AM65&lt;&gt;"",Calc!AM65,"")</f>
        <v/>
      </c>
      <c r="B64" s="74">
        <f>IF(Calc!AN65&lt;&gt;"",Calc!AN65,"")</f>
        <v>0</v>
      </c>
      <c r="C64" s="74" t="str">
        <f ca="1">IF(Calc!AO65&lt;&gt;"",Calc!AO65,"")</f>
        <v/>
      </c>
      <c r="D64" s="75" t="str">
        <f ca="1">IF(Calc!AP65&lt;&gt;"",Calc!AP65,"")</f>
        <v/>
      </c>
      <c r="E64" s="77" t="str">
        <f ca="1">IF(Calc!AQ65&lt;&gt;"",Calc!AQ65,"")</f>
        <v/>
      </c>
      <c r="F64" s="79" t="str">
        <f>Calc!AU65</f>
        <v/>
      </c>
      <c r="G64" s="74">
        <f>Calc!AV65</f>
        <v>0</v>
      </c>
      <c r="H64" s="74" t="str">
        <f ca="1">Calc!AW65</f>
        <v/>
      </c>
      <c r="I64" s="75" t="str">
        <f ca="1">Calc!AX65</f>
        <v/>
      </c>
      <c r="J64" s="76" t="str">
        <f ca="1">Calc!AY65</f>
        <v/>
      </c>
      <c r="S64">
        <f t="shared" ca="1" si="7"/>
        <v>0</v>
      </c>
      <c r="T64">
        <f t="shared" ca="1" si="8"/>
        <v>2.0055000000000116</v>
      </c>
      <c r="U64" s="200" t="s">
        <v>264</v>
      </c>
      <c r="V64">
        <f t="shared" ca="1" si="9"/>
        <v>0</v>
      </c>
      <c r="W64">
        <f t="shared" ca="1" si="10"/>
        <v>0</v>
      </c>
      <c r="X64">
        <f t="shared" ca="1" si="11"/>
        <v>0</v>
      </c>
      <c r="AB64">
        <f t="shared" si="3"/>
        <v>58</v>
      </c>
      <c r="AC64" s="189" t="str">
        <f t="shared" ca="1" si="4"/>
        <v/>
      </c>
      <c r="AD64" s="190" t="str">
        <f t="shared" ca="1" si="5"/>
        <v/>
      </c>
      <c r="AE64" s="191" t="str">
        <f t="shared" ca="1" si="1"/>
        <v/>
      </c>
      <c r="AF64" s="191" t="str">
        <f t="shared" ca="1" si="2"/>
        <v/>
      </c>
      <c r="AG64" s="191"/>
      <c r="AH64" s="192">
        <f t="shared" ca="1" si="6"/>
        <v>0</v>
      </c>
      <c r="AI64" s="233" t="str">
        <f t="shared" ca="1" si="12"/>
        <v/>
      </c>
    </row>
    <row r="65" spans="1:35" ht="15">
      <c r="A65" s="73" t="str">
        <f>IF(Calc!AM66&lt;&gt;"",Calc!AM66,"")</f>
        <v/>
      </c>
      <c r="B65" s="74">
        <f>IF(Calc!AN66&lt;&gt;"",Calc!AN66,"")</f>
        <v>0</v>
      </c>
      <c r="C65" s="74" t="str">
        <f ca="1">IF(Calc!AO66&lt;&gt;"",Calc!AO66,"")</f>
        <v/>
      </c>
      <c r="D65" s="75" t="str">
        <f ca="1">IF(Calc!AP66&lt;&gt;"",Calc!AP66,"")</f>
        <v/>
      </c>
      <c r="E65" s="77" t="str">
        <f ca="1">IF(Calc!AQ66&lt;&gt;"",Calc!AQ66,"")</f>
        <v/>
      </c>
      <c r="F65" s="79" t="str">
        <f>Calc!AU66</f>
        <v/>
      </c>
      <c r="G65" s="74">
        <f>Calc!AV66</f>
        <v>0</v>
      </c>
      <c r="H65" s="74" t="str">
        <f ca="1">Calc!AW66</f>
        <v/>
      </c>
      <c r="I65" s="75" t="str">
        <f ca="1">Calc!AX66</f>
        <v/>
      </c>
      <c r="J65" s="76" t="str">
        <f ca="1">Calc!AY66</f>
        <v/>
      </c>
      <c r="S65">
        <f t="shared" ca="1" si="7"/>
        <v>0</v>
      </c>
      <c r="T65">
        <f t="shared" ca="1" si="8"/>
        <v>2.0056000000000118</v>
      </c>
      <c r="U65" s="200" t="s">
        <v>264</v>
      </c>
      <c r="V65">
        <f t="shared" ca="1" si="9"/>
        <v>0</v>
      </c>
      <c r="W65">
        <f t="shared" ca="1" si="10"/>
        <v>0</v>
      </c>
      <c r="X65">
        <f t="shared" ca="1" si="11"/>
        <v>0</v>
      </c>
      <c r="AB65">
        <f t="shared" si="3"/>
        <v>59</v>
      </c>
      <c r="AC65" s="189" t="str">
        <f t="shared" ca="1" si="4"/>
        <v/>
      </c>
      <c r="AD65" s="190" t="str">
        <f t="shared" ca="1" si="5"/>
        <v/>
      </c>
      <c r="AE65" s="191" t="str">
        <f t="shared" ca="1" si="1"/>
        <v/>
      </c>
      <c r="AF65" s="191" t="str">
        <f t="shared" ca="1" si="2"/>
        <v/>
      </c>
      <c r="AG65" s="191"/>
      <c r="AH65" s="192">
        <f t="shared" ca="1" si="6"/>
        <v>0</v>
      </c>
      <c r="AI65" s="233" t="str">
        <f t="shared" ca="1" si="12"/>
        <v/>
      </c>
    </row>
    <row r="66" spans="1:35" ht="15">
      <c r="A66" s="73" t="str">
        <f>IF(Calc!AM67&lt;&gt;"",Calc!AM67,"")</f>
        <v/>
      </c>
      <c r="B66" s="74">
        <f>IF(Calc!AN67&lt;&gt;"",Calc!AN67,"")</f>
        <v>0</v>
      </c>
      <c r="C66" s="74" t="str">
        <f ca="1">IF(Calc!AO67&lt;&gt;"",Calc!AO67,"")</f>
        <v/>
      </c>
      <c r="D66" s="75" t="str">
        <f ca="1">IF(Calc!AP67&lt;&gt;"",Calc!AP67,"")</f>
        <v/>
      </c>
      <c r="E66" s="77" t="str">
        <f ca="1">IF(Calc!AQ67&lt;&gt;"",Calc!AQ67,"")</f>
        <v/>
      </c>
      <c r="F66" s="79" t="str">
        <f>Calc!AU67</f>
        <v/>
      </c>
      <c r="G66" s="74">
        <f>Calc!AV67</f>
        <v>0</v>
      </c>
      <c r="H66" s="74" t="str">
        <f ca="1">Calc!AW67</f>
        <v/>
      </c>
      <c r="I66" s="75" t="str">
        <f ca="1">Calc!AX67</f>
        <v/>
      </c>
      <c r="J66" s="76" t="str">
        <f ca="1">Calc!AY67</f>
        <v/>
      </c>
      <c r="S66">
        <f t="shared" ca="1" si="7"/>
        <v>0</v>
      </c>
      <c r="T66">
        <f t="shared" ca="1" si="8"/>
        <v>2.005700000000012</v>
      </c>
      <c r="U66" s="200" t="s">
        <v>264</v>
      </c>
      <c r="V66">
        <f t="shared" ca="1" si="9"/>
        <v>0</v>
      </c>
      <c r="W66">
        <f t="shared" ca="1" si="10"/>
        <v>0</v>
      </c>
      <c r="X66">
        <f t="shared" ca="1" si="11"/>
        <v>0</v>
      </c>
      <c r="AB66">
        <f t="shared" si="3"/>
        <v>60</v>
      </c>
      <c r="AC66" s="189" t="str">
        <f t="shared" ca="1" si="4"/>
        <v/>
      </c>
      <c r="AD66" s="190" t="str">
        <f t="shared" ca="1" si="5"/>
        <v/>
      </c>
      <c r="AE66" s="191" t="str">
        <f t="shared" ca="1" si="1"/>
        <v/>
      </c>
      <c r="AF66" s="191" t="str">
        <f t="shared" ca="1" si="2"/>
        <v/>
      </c>
      <c r="AG66" s="191"/>
      <c r="AH66" s="192">
        <f t="shared" ca="1" si="6"/>
        <v>0</v>
      </c>
      <c r="AI66" s="233" t="str">
        <f t="shared" ca="1" si="12"/>
        <v/>
      </c>
    </row>
    <row r="67" spans="1:35" ht="15">
      <c r="A67" s="73" t="str">
        <f>IF(Calc!AM68&lt;&gt;"",Calc!AM68,"")</f>
        <v/>
      </c>
      <c r="B67" s="74">
        <f>IF(Calc!AN68&lt;&gt;"",Calc!AN68,"")</f>
        <v>0</v>
      </c>
      <c r="C67" s="74" t="str">
        <f ca="1">IF(Calc!AO68&lt;&gt;"",Calc!AO68,"")</f>
        <v/>
      </c>
      <c r="D67" s="75" t="str">
        <f ca="1">IF(Calc!AP68&lt;&gt;"",Calc!AP68,"")</f>
        <v/>
      </c>
      <c r="E67" s="77" t="str">
        <f ca="1">IF(Calc!AQ68&lt;&gt;"",Calc!AQ68,"")</f>
        <v/>
      </c>
      <c r="F67" s="79" t="str">
        <f>Calc!AU68</f>
        <v/>
      </c>
      <c r="G67" s="74">
        <f>Calc!AV68</f>
        <v>0</v>
      </c>
      <c r="H67" s="74" t="str">
        <f ca="1">Calc!AW68</f>
        <v/>
      </c>
      <c r="I67" s="75" t="str">
        <f ca="1">Calc!AX68</f>
        <v/>
      </c>
      <c r="J67" s="76" t="str">
        <f ca="1">Calc!AY68</f>
        <v/>
      </c>
      <c r="S67">
        <f t="shared" ca="1" si="7"/>
        <v>0</v>
      </c>
      <c r="T67">
        <f t="shared" ca="1" si="8"/>
        <v>2.0058000000000122</v>
      </c>
      <c r="U67" s="200" t="s">
        <v>264</v>
      </c>
      <c r="V67">
        <f t="shared" ca="1" si="9"/>
        <v>0</v>
      </c>
      <c r="W67">
        <f t="shared" ca="1" si="10"/>
        <v>0</v>
      </c>
      <c r="X67">
        <f t="shared" ca="1" si="11"/>
        <v>0</v>
      </c>
      <c r="AB67">
        <f t="shared" si="3"/>
        <v>61</v>
      </c>
      <c r="AC67" s="189" t="str">
        <f t="shared" ca="1" si="4"/>
        <v/>
      </c>
      <c r="AD67" s="190" t="str">
        <f t="shared" ca="1" si="5"/>
        <v/>
      </c>
      <c r="AE67" s="191" t="str">
        <f t="shared" ca="1" si="1"/>
        <v/>
      </c>
      <c r="AF67" s="191" t="str">
        <f t="shared" ca="1" si="2"/>
        <v/>
      </c>
      <c r="AG67" s="191"/>
      <c r="AH67" s="192">
        <f t="shared" ca="1" si="6"/>
        <v>0</v>
      </c>
      <c r="AI67" s="233" t="str">
        <f t="shared" ca="1" si="12"/>
        <v/>
      </c>
    </row>
    <row r="68" spans="1:35" ht="15">
      <c r="A68" s="73" t="str">
        <f>IF(Calc!AM69&lt;&gt;"",Calc!AM69,"")</f>
        <v/>
      </c>
      <c r="B68" s="74">
        <f>IF(Calc!AN69&lt;&gt;"",Calc!AN69,"")</f>
        <v>0</v>
      </c>
      <c r="C68" s="74" t="str">
        <f ca="1">IF(Calc!AO69&lt;&gt;"",Calc!AO69,"")</f>
        <v/>
      </c>
      <c r="D68" s="75" t="str">
        <f ca="1">IF(Calc!AP69&lt;&gt;"",Calc!AP69,"")</f>
        <v/>
      </c>
      <c r="E68" s="77" t="str">
        <f ca="1">IF(Calc!AQ69&lt;&gt;"",Calc!AQ69,"")</f>
        <v/>
      </c>
      <c r="F68" s="79" t="str">
        <f>Calc!AU69</f>
        <v/>
      </c>
      <c r="G68" s="74">
        <f>Calc!AV69</f>
        <v>0</v>
      </c>
      <c r="H68" s="74" t="str">
        <f ca="1">Calc!AW69</f>
        <v/>
      </c>
      <c r="I68" s="75" t="str">
        <f ca="1">Calc!AX69</f>
        <v/>
      </c>
      <c r="J68" s="76" t="str">
        <f ca="1">Calc!AY69</f>
        <v/>
      </c>
      <c r="S68">
        <f t="shared" ca="1" si="7"/>
        <v>0</v>
      </c>
      <c r="T68">
        <f t="shared" ca="1" si="8"/>
        <v>2.0059000000000125</v>
      </c>
      <c r="U68" s="200" t="s">
        <v>264</v>
      </c>
      <c r="V68">
        <f t="shared" ca="1" si="9"/>
        <v>0</v>
      </c>
      <c r="W68">
        <f t="shared" ca="1" si="10"/>
        <v>0</v>
      </c>
      <c r="X68">
        <f t="shared" ca="1" si="11"/>
        <v>0</v>
      </c>
      <c r="AB68">
        <f t="shared" si="3"/>
        <v>62</v>
      </c>
      <c r="AC68" s="189" t="str">
        <f t="shared" ca="1" si="4"/>
        <v/>
      </c>
      <c r="AD68" s="190" t="str">
        <f t="shared" ca="1" si="5"/>
        <v/>
      </c>
      <c r="AE68" s="191" t="str">
        <f t="shared" ca="1" si="1"/>
        <v/>
      </c>
      <c r="AF68" s="191" t="str">
        <f t="shared" ca="1" si="2"/>
        <v/>
      </c>
      <c r="AG68" s="191"/>
      <c r="AH68" s="192">
        <f t="shared" ca="1" si="6"/>
        <v>0</v>
      </c>
      <c r="AI68" s="233" t="str">
        <f t="shared" ca="1" si="12"/>
        <v/>
      </c>
    </row>
    <row r="69" spans="1:35" ht="15">
      <c r="A69" s="73" t="str">
        <f>IF(Calc!AM70&lt;&gt;"",Calc!AM70,"")</f>
        <v/>
      </c>
      <c r="B69" s="74">
        <f>IF(Calc!AN70&lt;&gt;"",Calc!AN70,"")</f>
        <v>0</v>
      </c>
      <c r="C69" s="74" t="str">
        <f ca="1">IF(Calc!AO70&lt;&gt;"",Calc!AO70,"")</f>
        <v/>
      </c>
      <c r="D69" s="75" t="str">
        <f ca="1">IF(Calc!AP70&lt;&gt;"",Calc!AP70,"")</f>
        <v/>
      </c>
      <c r="E69" s="77" t="str">
        <f ca="1">IF(Calc!AQ70&lt;&gt;"",Calc!AQ70,"")</f>
        <v/>
      </c>
      <c r="F69" s="79" t="str">
        <f>Calc!AU70</f>
        <v/>
      </c>
      <c r="G69" s="74">
        <f>Calc!AV70</f>
        <v>0</v>
      </c>
      <c r="H69" s="74" t="str">
        <f ca="1">Calc!AW70</f>
        <v/>
      </c>
      <c r="I69" s="75" t="str">
        <f ca="1">Calc!AX70</f>
        <v/>
      </c>
      <c r="J69" s="76" t="str">
        <f ca="1">Calc!AY70</f>
        <v/>
      </c>
      <c r="S69">
        <f t="shared" ca="1" si="7"/>
        <v>0</v>
      </c>
      <c r="T69">
        <f t="shared" ca="1" si="8"/>
        <v>2.0060000000000127</v>
      </c>
      <c r="U69" s="200" t="s">
        <v>264</v>
      </c>
      <c r="V69">
        <f t="shared" ca="1" si="9"/>
        <v>0</v>
      </c>
      <c r="W69">
        <f t="shared" ca="1" si="10"/>
        <v>0</v>
      </c>
      <c r="X69">
        <f t="shared" ca="1" si="11"/>
        <v>0</v>
      </c>
      <c r="AB69">
        <f t="shared" si="3"/>
        <v>63</v>
      </c>
      <c r="AC69" s="189" t="str">
        <f t="shared" ca="1" si="4"/>
        <v/>
      </c>
      <c r="AD69" s="190" t="str">
        <f t="shared" ca="1" si="5"/>
        <v/>
      </c>
      <c r="AE69" s="191" t="str">
        <f t="shared" ca="1" si="1"/>
        <v/>
      </c>
      <c r="AF69" s="191" t="str">
        <f t="shared" ca="1" si="2"/>
        <v/>
      </c>
      <c r="AG69" s="191"/>
      <c r="AH69" s="192">
        <f t="shared" ca="1" si="6"/>
        <v>0</v>
      </c>
      <c r="AI69" s="233" t="str">
        <f t="shared" ca="1" si="12"/>
        <v/>
      </c>
    </row>
    <row r="70" spans="1:35" ht="15">
      <c r="A70" s="73" t="str">
        <f>IF(Calc!AM71&lt;&gt;"",Calc!AM71,"")</f>
        <v/>
      </c>
      <c r="B70" s="74">
        <f>IF(Calc!AN71&lt;&gt;"",Calc!AN71,"")</f>
        <v>0</v>
      </c>
      <c r="C70" s="74" t="str">
        <f ca="1">IF(Calc!AO71&lt;&gt;"",Calc!AO71,"")</f>
        <v/>
      </c>
      <c r="D70" s="75" t="str">
        <f ca="1">IF(Calc!AP71&lt;&gt;"",Calc!AP71,"")</f>
        <v/>
      </c>
      <c r="E70" s="77" t="str">
        <f ca="1">IF(Calc!AQ71&lt;&gt;"",Calc!AQ71,"")</f>
        <v/>
      </c>
      <c r="F70" s="79" t="str">
        <f>Calc!AU71</f>
        <v/>
      </c>
      <c r="G70" s="74">
        <f>Calc!AV71</f>
        <v>0</v>
      </c>
      <c r="H70" s="74" t="str">
        <f ca="1">Calc!AW71</f>
        <v/>
      </c>
      <c r="I70" s="75" t="str">
        <f ca="1">Calc!AX71</f>
        <v/>
      </c>
      <c r="J70" s="76" t="str">
        <f ca="1">Calc!AY71</f>
        <v/>
      </c>
      <c r="S70">
        <f t="shared" ca="1" si="7"/>
        <v>0</v>
      </c>
      <c r="T70">
        <f t="shared" ca="1" si="8"/>
        <v>2.0061000000000129</v>
      </c>
      <c r="U70" s="200" t="s">
        <v>264</v>
      </c>
      <c r="V70">
        <f t="shared" ca="1" si="9"/>
        <v>0</v>
      </c>
      <c r="W70">
        <f t="shared" ca="1" si="10"/>
        <v>0</v>
      </c>
      <c r="X70">
        <f t="shared" ca="1" si="11"/>
        <v>0</v>
      </c>
      <c r="AB70">
        <f t="shared" si="3"/>
        <v>64</v>
      </c>
      <c r="AC70" s="189" t="str">
        <f t="shared" ca="1" si="4"/>
        <v/>
      </c>
      <c r="AD70" s="190" t="str">
        <f t="shared" ca="1" si="5"/>
        <v/>
      </c>
      <c r="AE70" s="191" t="str">
        <f t="shared" ca="1" si="1"/>
        <v/>
      </c>
      <c r="AF70" s="191" t="str">
        <f t="shared" ca="1" si="2"/>
        <v/>
      </c>
      <c r="AG70" s="191"/>
      <c r="AH70" s="192">
        <f t="shared" ca="1" si="6"/>
        <v>0</v>
      </c>
      <c r="AI70" s="233" t="str">
        <f t="shared" ca="1" si="12"/>
        <v/>
      </c>
    </row>
    <row r="71" spans="1:35" ht="15">
      <c r="A71" s="73" t="str">
        <f>IF(Calc!AM72&lt;&gt;"",Calc!AM72,"")</f>
        <v/>
      </c>
      <c r="B71" s="74">
        <f>IF(Calc!AN72&lt;&gt;"",Calc!AN72,"")</f>
        <v>0</v>
      </c>
      <c r="C71" s="74" t="str">
        <f ca="1">IF(Calc!AO72&lt;&gt;"",Calc!AO72,"")</f>
        <v/>
      </c>
      <c r="D71" s="75" t="str">
        <f ca="1">IF(Calc!AP72&lt;&gt;"",Calc!AP72,"")</f>
        <v/>
      </c>
      <c r="E71" s="77" t="str">
        <f ca="1">IF(Calc!AQ72&lt;&gt;"",Calc!AQ72,"")</f>
        <v/>
      </c>
      <c r="F71" s="79" t="str">
        <f>Calc!AU72</f>
        <v/>
      </c>
      <c r="G71" s="74">
        <f>Calc!AV72</f>
        <v>0</v>
      </c>
      <c r="H71" s="74" t="str">
        <f ca="1">Calc!AW72</f>
        <v/>
      </c>
      <c r="I71" s="75" t="str">
        <f ca="1">Calc!AX72</f>
        <v/>
      </c>
      <c r="J71" s="76" t="str">
        <f ca="1">Calc!AY72</f>
        <v/>
      </c>
      <c r="S71">
        <f t="shared" ca="1" si="7"/>
        <v>0</v>
      </c>
      <c r="T71">
        <f t="shared" ca="1" si="8"/>
        <v>2.0062000000000131</v>
      </c>
      <c r="U71" s="200" t="s">
        <v>264</v>
      </c>
      <c r="V71">
        <f t="shared" ca="1" si="9"/>
        <v>0</v>
      </c>
      <c r="W71">
        <f t="shared" ca="1" si="10"/>
        <v>0</v>
      </c>
      <c r="X71">
        <f t="shared" ca="1" si="11"/>
        <v>0</v>
      </c>
      <c r="AB71">
        <f t="shared" si="3"/>
        <v>65</v>
      </c>
      <c r="AC71" s="189" t="str">
        <f t="shared" ca="1" si="4"/>
        <v/>
      </c>
      <c r="AD71" s="190" t="str">
        <f t="shared" ca="1" si="5"/>
        <v/>
      </c>
      <c r="AE71" s="191" t="str">
        <f t="shared" ref="AE71:AE134" ca="1" si="13">IF(AB71&gt;$U$4,"",IF(VLOOKUP(AB71,$T$6:$U$325,2)="a",VLOOKUP(AB71,$T$6:$V$325,3),$AE$2))</f>
        <v/>
      </c>
      <c r="AF71" s="191" t="str">
        <f t="shared" ref="AF71:AF134" ca="1" si="14">IF(AB71&gt;$U$4,"",IF(VLOOKUP(AB71,$T$6:$U$325,2)="p",VLOOKUP(AB71,$T$6:$V$325,3),$AE$2))</f>
        <v/>
      </c>
      <c r="AG71" s="191"/>
      <c r="AH71" s="192">
        <f t="shared" ca="1" si="6"/>
        <v>0</v>
      </c>
      <c r="AI71" s="233" t="str">
        <f t="shared" ca="1" si="12"/>
        <v/>
      </c>
    </row>
    <row r="72" spans="1:35" ht="15">
      <c r="A72" s="73" t="str">
        <f>IF(Calc!AM73&lt;&gt;"",Calc!AM73,"")</f>
        <v/>
      </c>
      <c r="B72" s="74">
        <f>IF(Calc!AN73&lt;&gt;"",Calc!AN73,"")</f>
        <v>0</v>
      </c>
      <c r="C72" s="74" t="str">
        <f ca="1">IF(Calc!AO73&lt;&gt;"",Calc!AO73,"")</f>
        <v/>
      </c>
      <c r="D72" s="75" t="str">
        <f ca="1">IF(Calc!AP73&lt;&gt;"",Calc!AP73,"")</f>
        <v/>
      </c>
      <c r="E72" s="77" t="str">
        <f ca="1">IF(Calc!AQ73&lt;&gt;"",Calc!AQ73,"")</f>
        <v/>
      </c>
      <c r="F72" s="79" t="str">
        <f>Calc!AU73</f>
        <v/>
      </c>
      <c r="G72" s="74">
        <f>Calc!AV73</f>
        <v>0</v>
      </c>
      <c r="H72" s="74" t="str">
        <f ca="1">Calc!AW73</f>
        <v/>
      </c>
      <c r="I72" s="75" t="str">
        <f ca="1">Calc!AX73</f>
        <v/>
      </c>
      <c r="J72" s="76" t="str">
        <f ca="1">Calc!AY73</f>
        <v/>
      </c>
      <c r="S72">
        <f t="shared" ca="1" si="7"/>
        <v>0</v>
      </c>
      <c r="T72">
        <f t="shared" ca="1" si="8"/>
        <v>2.0063000000000133</v>
      </c>
      <c r="U72" s="200" t="s">
        <v>264</v>
      </c>
      <c r="V72">
        <f t="shared" ca="1" si="9"/>
        <v>0</v>
      </c>
      <c r="W72">
        <f t="shared" ca="1" si="10"/>
        <v>0</v>
      </c>
      <c r="X72">
        <f t="shared" ca="1" si="11"/>
        <v>0</v>
      </c>
      <c r="AB72">
        <f t="shared" ref="AB72:AB135" si="15">AB71+1</f>
        <v>66</v>
      </c>
      <c r="AC72" s="189" t="str">
        <f t="shared" ref="AC72:AC135" ca="1" si="16">IF(AB72&gt;$U$4,"",AC71)</f>
        <v/>
      </c>
      <c r="AD72" s="190" t="str">
        <f t="shared" ref="AD72:AD135" ca="1" si="17">IF(AB72&gt;$U$4,"",AD71)</f>
        <v/>
      </c>
      <c r="AE72" s="191" t="str">
        <f t="shared" ca="1" si="13"/>
        <v/>
      </c>
      <c r="AF72" s="191" t="str">
        <f t="shared" ca="1" si="14"/>
        <v/>
      </c>
      <c r="AG72" s="191"/>
      <c r="AH72" s="192">
        <f t="shared" ref="AH72:AH135" ca="1" si="18">VLOOKUP(AB72,$T$6:$X$325,5)</f>
        <v>0</v>
      </c>
      <c r="AI72" s="233" t="str">
        <f t="shared" ref="AI72:AI135" ca="1" si="19">IF(AB72&gt;$U$4,"",CONCATENATE("Eröffnung: ",VLOOKUP(AB72,$T$6:$X$325,4)))</f>
        <v/>
      </c>
    </row>
    <row r="73" spans="1:35" ht="15">
      <c r="A73" s="73" t="str">
        <f>IF(Calc!AM74&lt;&gt;"",Calc!AM74,"")</f>
        <v/>
      </c>
      <c r="B73" s="74">
        <f>IF(Calc!AN74&lt;&gt;"",Calc!AN74,"")</f>
        <v>0</v>
      </c>
      <c r="C73" s="74" t="str">
        <f ca="1">IF(Calc!AO74&lt;&gt;"",Calc!AO74,"")</f>
        <v/>
      </c>
      <c r="D73" s="75" t="str">
        <f ca="1">IF(Calc!AP74&lt;&gt;"",Calc!AP74,"")</f>
        <v/>
      </c>
      <c r="E73" s="77" t="str">
        <f ca="1">IF(Calc!AQ74&lt;&gt;"",Calc!AQ74,"")</f>
        <v/>
      </c>
      <c r="F73" s="79" t="str">
        <f>Calc!AU74</f>
        <v/>
      </c>
      <c r="G73" s="74">
        <f>Calc!AV74</f>
        <v>0</v>
      </c>
      <c r="H73" s="74" t="str">
        <f ca="1">Calc!AW74</f>
        <v/>
      </c>
      <c r="I73" s="75" t="str">
        <f ca="1">Calc!AX74</f>
        <v/>
      </c>
      <c r="J73" s="76" t="str">
        <f ca="1">Calc!AY74</f>
        <v/>
      </c>
      <c r="S73">
        <f t="shared" ref="S73:S136" ca="1" si="20">IF(OR(B73=0,D73=0),0,1)</f>
        <v>0</v>
      </c>
      <c r="T73">
        <f t="shared" ref="T73:T136" ca="1" si="21">IF(S73=0,T72+0.0001,ROUND(1+T72,0))</f>
        <v>2.0064000000000135</v>
      </c>
      <c r="U73" s="200" t="s">
        <v>264</v>
      </c>
      <c r="V73">
        <f t="shared" ref="V73:V136" ca="1" si="22">IF(S73&lt;&gt;0,B73,0)</f>
        <v>0</v>
      </c>
      <c r="W73">
        <f t="shared" ref="W73:W136" ca="1" si="23">IF(S73&lt;&gt;0,C73,0)</f>
        <v>0</v>
      </c>
      <c r="X73">
        <f t="shared" ref="X73:X136" ca="1" si="24">IF(S73&lt;&gt;0,D73,0)</f>
        <v>0</v>
      </c>
      <c r="AB73">
        <f t="shared" si="15"/>
        <v>67</v>
      </c>
      <c r="AC73" s="189" t="str">
        <f t="shared" ca="1" si="16"/>
        <v/>
      </c>
      <c r="AD73" s="190" t="str">
        <f t="shared" ca="1" si="17"/>
        <v/>
      </c>
      <c r="AE73" s="191" t="str">
        <f t="shared" ca="1" si="13"/>
        <v/>
      </c>
      <c r="AF73" s="191" t="str">
        <f t="shared" ca="1" si="14"/>
        <v/>
      </c>
      <c r="AG73" s="191"/>
      <c r="AH73" s="192">
        <f t="shared" ca="1" si="18"/>
        <v>0</v>
      </c>
      <c r="AI73" s="233" t="str">
        <f t="shared" ca="1" si="19"/>
        <v/>
      </c>
    </row>
    <row r="74" spans="1:35" ht="15">
      <c r="A74" s="73" t="str">
        <f>IF(Calc!AM75&lt;&gt;"",Calc!AM75,"")</f>
        <v/>
      </c>
      <c r="B74" s="74">
        <f>IF(Calc!AN75&lt;&gt;"",Calc!AN75,"")</f>
        <v>0</v>
      </c>
      <c r="C74" s="74" t="str">
        <f ca="1">IF(Calc!AO75&lt;&gt;"",Calc!AO75,"")</f>
        <v/>
      </c>
      <c r="D74" s="75" t="str">
        <f ca="1">IF(Calc!AP75&lt;&gt;"",Calc!AP75,"")</f>
        <v/>
      </c>
      <c r="E74" s="77" t="str">
        <f ca="1">IF(Calc!AQ75&lt;&gt;"",Calc!AQ75,"")</f>
        <v/>
      </c>
      <c r="F74" s="79" t="str">
        <f>Calc!AU75</f>
        <v/>
      </c>
      <c r="G74" s="74">
        <f>Calc!AV75</f>
        <v>0</v>
      </c>
      <c r="H74" s="74" t="str">
        <f ca="1">Calc!AW75</f>
        <v/>
      </c>
      <c r="I74" s="75" t="str">
        <f ca="1">Calc!AX75</f>
        <v/>
      </c>
      <c r="J74" s="76" t="str">
        <f ca="1">Calc!AY75</f>
        <v/>
      </c>
      <c r="S74">
        <f t="shared" ca="1" si="20"/>
        <v>0</v>
      </c>
      <c r="T74">
        <f t="shared" ca="1" si="21"/>
        <v>2.0065000000000137</v>
      </c>
      <c r="U74" s="200" t="s">
        <v>264</v>
      </c>
      <c r="V74">
        <f t="shared" ca="1" si="22"/>
        <v>0</v>
      </c>
      <c r="W74">
        <f t="shared" ca="1" si="23"/>
        <v>0</v>
      </c>
      <c r="X74">
        <f t="shared" ca="1" si="24"/>
        <v>0</v>
      </c>
      <c r="AB74">
        <f t="shared" si="15"/>
        <v>68</v>
      </c>
      <c r="AC74" s="189" t="str">
        <f t="shared" ca="1" si="16"/>
        <v/>
      </c>
      <c r="AD74" s="190" t="str">
        <f t="shared" ca="1" si="17"/>
        <v/>
      </c>
      <c r="AE74" s="191" t="str">
        <f t="shared" ca="1" si="13"/>
        <v/>
      </c>
      <c r="AF74" s="191" t="str">
        <f t="shared" ca="1" si="14"/>
        <v/>
      </c>
      <c r="AG74" s="191"/>
      <c r="AH74" s="192">
        <f t="shared" ca="1" si="18"/>
        <v>0</v>
      </c>
      <c r="AI74" s="233" t="str">
        <f t="shared" ca="1" si="19"/>
        <v/>
      </c>
    </row>
    <row r="75" spans="1:35" ht="15">
      <c r="A75" s="73" t="str">
        <f>IF(Calc!AM76&lt;&gt;"",Calc!AM76,"")</f>
        <v/>
      </c>
      <c r="B75" s="74">
        <f>IF(Calc!AN76&lt;&gt;"",Calc!AN76,"")</f>
        <v>0</v>
      </c>
      <c r="C75" s="74" t="str">
        <f ca="1">IF(Calc!AO76&lt;&gt;"",Calc!AO76,"")</f>
        <v/>
      </c>
      <c r="D75" s="75" t="str">
        <f ca="1">IF(Calc!AP76&lt;&gt;"",Calc!AP76,"")</f>
        <v/>
      </c>
      <c r="E75" s="77" t="str">
        <f ca="1">IF(Calc!AQ76&lt;&gt;"",Calc!AQ76,"")</f>
        <v/>
      </c>
      <c r="F75" s="79" t="str">
        <f>Calc!AU76</f>
        <v/>
      </c>
      <c r="G75" s="74">
        <f>Calc!AV76</f>
        <v>0</v>
      </c>
      <c r="H75" s="74" t="str">
        <f ca="1">Calc!AW76</f>
        <v/>
      </c>
      <c r="I75" s="75" t="str">
        <f ca="1">Calc!AX76</f>
        <v/>
      </c>
      <c r="J75" s="76" t="str">
        <f ca="1">Calc!AY76</f>
        <v/>
      </c>
      <c r="S75">
        <f t="shared" ca="1" si="20"/>
        <v>0</v>
      </c>
      <c r="T75">
        <f t="shared" ca="1" si="21"/>
        <v>2.0066000000000139</v>
      </c>
      <c r="U75" s="200" t="s">
        <v>264</v>
      </c>
      <c r="V75">
        <f t="shared" ca="1" si="22"/>
        <v>0</v>
      </c>
      <c r="W75">
        <f t="shared" ca="1" si="23"/>
        <v>0</v>
      </c>
      <c r="X75">
        <f t="shared" ca="1" si="24"/>
        <v>0</v>
      </c>
      <c r="AB75">
        <f t="shared" si="15"/>
        <v>69</v>
      </c>
      <c r="AC75" s="189" t="str">
        <f t="shared" ca="1" si="16"/>
        <v/>
      </c>
      <c r="AD75" s="190" t="str">
        <f t="shared" ca="1" si="17"/>
        <v/>
      </c>
      <c r="AE75" s="191" t="str">
        <f t="shared" ca="1" si="13"/>
        <v/>
      </c>
      <c r="AF75" s="191" t="str">
        <f t="shared" ca="1" si="14"/>
        <v/>
      </c>
      <c r="AG75" s="191"/>
      <c r="AH75" s="192">
        <f t="shared" ca="1" si="18"/>
        <v>0</v>
      </c>
      <c r="AI75" s="233" t="str">
        <f t="shared" ca="1" si="19"/>
        <v/>
      </c>
    </row>
    <row r="76" spans="1:35" ht="15">
      <c r="A76" s="73" t="str">
        <f>IF(Calc!AM77&lt;&gt;"",Calc!AM77,"")</f>
        <v/>
      </c>
      <c r="B76" s="74">
        <f>IF(Calc!AN77&lt;&gt;"",Calc!AN77,"")</f>
        <v>0</v>
      </c>
      <c r="C76" s="74" t="str">
        <f ca="1">IF(Calc!AO77&lt;&gt;"",Calc!AO77,"")</f>
        <v/>
      </c>
      <c r="D76" s="75" t="str">
        <f ca="1">IF(Calc!AP77&lt;&gt;"",Calc!AP77,"")</f>
        <v/>
      </c>
      <c r="E76" s="77" t="str">
        <f ca="1">IF(Calc!AQ77&lt;&gt;"",Calc!AQ77,"")</f>
        <v/>
      </c>
      <c r="F76" s="79" t="str">
        <f>Calc!AU77</f>
        <v/>
      </c>
      <c r="G76" s="74">
        <f>Calc!AV77</f>
        <v>0</v>
      </c>
      <c r="H76" s="74" t="str">
        <f ca="1">Calc!AW77</f>
        <v/>
      </c>
      <c r="I76" s="75" t="str">
        <f ca="1">Calc!AX77</f>
        <v/>
      </c>
      <c r="J76" s="76" t="str">
        <f ca="1">Calc!AY77</f>
        <v/>
      </c>
      <c r="S76">
        <f t="shared" ca="1" si="20"/>
        <v>0</v>
      </c>
      <c r="T76">
        <f t="shared" ca="1" si="21"/>
        <v>2.0067000000000141</v>
      </c>
      <c r="U76" s="200" t="s">
        <v>264</v>
      </c>
      <c r="V76">
        <f t="shared" ca="1" si="22"/>
        <v>0</v>
      </c>
      <c r="W76">
        <f t="shared" ca="1" si="23"/>
        <v>0</v>
      </c>
      <c r="X76">
        <f t="shared" ca="1" si="24"/>
        <v>0</v>
      </c>
      <c r="AB76">
        <f t="shared" si="15"/>
        <v>70</v>
      </c>
      <c r="AC76" s="189" t="str">
        <f t="shared" ca="1" si="16"/>
        <v/>
      </c>
      <c r="AD76" s="190" t="str">
        <f t="shared" ca="1" si="17"/>
        <v/>
      </c>
      <c r="AE76" s="191" t="str">
        <f t="shared" ca="1" si="13"/>
        <v/>
      </c>
      <c r="AF76" s="191" t="str">
        <f t="shared" ca="1" si="14"/>
        <v/>
      </c>
      <c r="AG76" s="191"/>
      <c r="AH76" s="192">
        <f t="shared" ca="1" si="18"/>
        <v>0</v>
      </c>
      <c r="AI76" s="233" t="str">
        <f t="shared" ca="1" si="19"/>
        <v/>
      </c>
    </row>
    <row r="77" spans="1:35" ht="15">
      <c r="A77" s="73" t="str">
        <f>IF(Calc!AM78&lt;&gt;"",Calc!AM78,"")</f>
        <v/>
      </c>
      <c r="B77" s="74">
        <f>IF(Calc!AN78&lt;&gt;"",Calc!AN78,"")</f>
        <v>0</v>
      </c>
      <c r="C77" s="74" t="str">
        <f ca="1">IF(Calc!AO78&lt;&gt;"",Calc!AO78,"")</f>
        <v/>
      </c>
      <c r="D77" s="75" t="str">
        <f ca="1">IF(Calc!AP78&lt;&gt;"",Calc!AP78,"")</f>
        <v/>
      </c>
      <c r="E77" s="77" t="str">
        <f ca="1">IF(Calc!AQ78&lt;&gt;"",Calc!AQ78,"")</f>
        <v/>
      </c>
      <c r="F77" s="79" t="str">
        <f>Calc!AU78</f>
        <v/>
      </c>
      <c r="G77" s="74">
        <f>Calc!AV78</f>
        <v>0</v>
      </c>
      <c r="H77" s="74" t="str">
        <f ca="1">Calc!AW78</f>
        <v/>
      </c>
      <c r="I77" s="75" t="str">
        <f ca="1">Calc!AX78</f>
        <v/>
      </c>
      <c r="J77" s="76" t="str">
        <f ca="1">Calc!AY78</f>
        <v/>
      </c>
      <c r="S77">
        <f t="shared" ca="1" si="20"/>
        <v>0</v>
      </c>
      <c r="T77">
        <f t="shared" ca="1" si="21"/>
        <v>2.0068000000000144</v>
      </c>
      <c r="U77" s="200" t="s">
        <v>264</v>
      </c>
      <c r="V77">
        <f t="shared" ca="1" si="22"/>
        <v>0</v>
      </c>
      <c r="W77">
        <f t="shared" ca="1" si="23"/>
        <v>0</v>
      </c>
      <c r="X77">
        <f t="shared" ca="1" si="24"/>
        <v>0</v>
      </c>
      <c r="AB77">
        <f t="shared" si="15"/>
        <v>71</v>
      </c>
      <c r="AC77" s="189" t="str">
        <f t="shared" ca="1" si="16"/>
        <v/>
      </c>
      <c r="AD77" s="190" t="str">
        <f t="shared" ca="1" si="17"/>
        <v/>
      </c>
      <c r="AE77" s="191" t="str">
        <f t="shared" ca="1" si="13"/>
        <v/>
      </c>
      <c r="AF77" s="191" t="str">
        <f t="shared" ca="1" si="14"/>
        <v/>
      </c>
      <c r="AG77" s="191"/>
      <c r="AH77" s="192">
        <f t="shared" ca="1" si="18"/>
        <v>0</v>
      </c>
      <c r="AI77" s="233" t="str">
        <f t="shared" ca="1" si="19"/>
        <v/>
      </c>
    </row>
    <row r="78" spans="1:35" ht="15">
      <c r="A78" s="73" t="str">
        <f>IF(Calc!AM79&lt;&gt;"",Calc!AM79,"")</f>
        <v/>
      </c>
      <c r="B78" s="74">
        <f>IF(Calc!AN79&lt;&gt;"",Calc!AN79,"")</f>
        <v>0</v>
      </c>
      <c r="C78" s="74" t="str">
        <f ca="1">IF(Calc!AO79&lt;&gt;"",Calc!AO79,"")</f>
        <v/>
      </c>
      <c r="D78" s="75" t="str">
        <f ca="1">IF(Calc!AP79&lt;&gt;"",Calc!AP79,"")</f>
        <v/>
      </c>
      <c r="E78" s="77" t="str">
        <f ca="1">IF(Calc!AQ79&lt;&gt;"",Calc!AQ79,"")</f>
        <v/>
      </c>
      <c r="F78" s="79" t="str">
        <f>Calc!AU79</f>
        <v/>
      </c>
      <c r="G78" s="74">
        <f>Calc!AV79</f>
        <v>0</v>
      </c>
      <c r="H78" s="74" t="str">
        <f ca="1">Calc!AW79</f>
        <v/>
      </c>
      <c r="I78" s="75" t="str">
        <f ca="1">Calc!AX79</f>
        <v/>
      </c>
      <c r="J78" s="76" t="str">
        <f ca="1">Calc!AY79</f>
        <v/>
      </c>
      <c r="S78">
        <f t="shared" ca="1" si="20"/>
        <v>0</v>
      </c>
      <c r="T78">
        <f t="shared" ca="1" si="21"/>
        <v>2.0069000000000146</v>
      </c>
      <c r="U78" s="200" t="s">
        <v>264</v>
      </c>
      <c r="V78">
        <f t="shared" ca="1" si="22"/>
        <v>0</v>
      </c>
      <c r="W78">
        <f t="shared" ca="1" si="23"/>
        <v>0</v>
      </c>
      <c r="X78">
        <f t="shared" ca="1" si="24"/>
        <v>0</v>
      </c>
      <c r="AB78">
        <f t="shared" si="15"/>
        <v>72</v>
      </c>
      <c r="AC78" s="189" t="str">
        <f t="shared" ca="1" si="16"/>
        <v/>
      </c>
      <c r="AD78" s="190" t="str">
        <f t="shared" ca="1" si="17"/>
        <v/>
      </c>
      <c r="AE78" s="191" t="str">
        <f t="shared" ca="1" si="13"/>
        <v/>
      </c>
      <c r="AF78" s="191" t="str">
        <f t="shared" ca="1" si="14"/>
        <v/>
      </c>
      <c r="AG78" s="191"/>
      <c r="AH78" s="192">
        <f t="shared" ca="1" si="18"/>
        <v>0</v>
      </c>
      <c r="AI78" s="233" t="str">
        <f t="shared" ca="1" si="19"/>
        <v/>
      </c>
    </row>
    <row r="79" spans="1:35" ht="15">
      <c r="A79" s="73" t="str">
        <f>IF(Calc!AM80&lt;&gt;"",Calc!AM80,"")</f>
        <v/>
      </c>
      <c r="B79" s="74">
        <f>IF(Calc!AN80&lt;&gt;"",Calc!AN80,"")</f>
        <v>0</v>
      </c>
      <c r="C79" s="74" t="str">
        <f ca="1">IF(Calc!AO80&lt;&gt;"",Calc!AO80,"")</f>
        <v/>
      </c>
      <c r="D79" s="75" t="str">
        <f ca="1">IF(Calc!AP80&lt;&gt;"",Calc!AP80,"")</f>
        <v/>
      </c>
      <c r="E79" s="77" t="str">
        <f ca="1">IF(Calc!AQ80&lt;&gt;"",Calc!AQ80,"")</f>
        <v/>
      </c>
      <c r="F79" s="79" t="str">
        <f>Calc!AU80</f>
        <v/>
      </c>
      <c r="G79" s="74">
        <f>Calc!AV80</f>
        <v>0</v>
      </c>
      <c r="H79" s="74" t="str">
        <f ca="1">Calc!AW80</f>
        <v/>
      </c>
      <c r="I79" s="75" t="str">
        <f ca="1">Calc!AX80</f>
        <v/>
      </c>
      <c r="J79" s="76" t="str">
        <f ca="1">Calc!AY80</f>
        <v/>
      </c>
      <c r="S79">
        <f t="shared" ca="1" si="20"/>
        <v>0</v>
      </c>
      <c r="T79">
        <f t="shared" ca="1" si="21"/>
        <v>2.0070000000000148</v>
      </c>
      <c r="U79" s="200" t="s">
        <v>264</v>
      </c>
      <c r="V79">
        <f t="shared" ca="1" si="22"/>
        <v>0</v>
      </c>
      <c r="W79">
        <f t="shared" ca="1" si="23"/>
        <v>0</v>
      </c>
      <c r="X79">
        <f t="shared" ca="1" si="24"/>
        <v>0</v>
      </c>
      <c r="AB79">
        <f t="shared" si="15"/>
        <v>73</v>
      </c>
      <c r="AC79" s="189" t="str">
        <f t="shared" ca="1" si="16"/>
        <v/>
      </c>
      <c r="AD79" s="190" t="str">
        <f t="shared" ca="1" si="17"/>
        <v/>
      </c>
      <c r="AE79" s="191" t="str">
        <f t="shared" ca="1" si="13"/>
        <v/>
      </c>
      <c r="AF79" s="191" t="str">
        <f t="shared" ca="1" si="14"/>
        <v/>
      </c>
      <c r="AG79" s="191"/>
      <c r="AH79" s="192">
        <f t="shared" ca="1" si="18"/>
        <v>0</v>
      </c>
      <c r="AI79" s="233" t="str">
        <f t="shared" ca="1" si="19"/>
        <v/>
      </c>
    </row>
    <row r="80" spans="1:35" ht="15">
      <c r="A80" s="73" t="str">
        <f>IF(Calc!AM81&lt;&gt;"",Calc!AM81,"")</f>
        <v/>
      </c>
      <c r="B80" s="74">
        <f>IF(Calc!AN81&lt;&gt;"",Calc!AN81,"")</f>
        <v>0</v>
      </c>
      <c r="C80" s="74" t="str">
        <f ca="1">IF(Calc!AO81&lt;&gt;"",Calc!AO81,"")</f>
        <v/>
      </c>
      <c r="D80" s="75" t="str">
        <f ca="1">IF(Calc!AP81&lt;&gt;"",Calc!AP81,"")</f>
        <v/>
      </c>
      <c r="E80" s="77" t="str">
        <f ca="1">IF(Calc!AQ81&lt;&gt;"",Calc!AQ81,"")</f>
        <v/>
      </c>
      <c r="F80" s="79" t="str">
        <f>Calc!AU81</f>
        <v/>
      </c>
      <c r="G80" s="74">
        <f>Calc!AV81</f>
        <v>0</v>
      </c>
      <c r="H80" s="74" t="str">
        <f ca="1">Calc!AW81</f>
        <v/>
      </c>
      <c r="I80" s="75" t="str">
        <f ca="1">Calc!AX81</f>
        <v/>
      </c>
      <c r="J80" s="76" t="str">
        <f ca="1">Calc!AY81</f>
        <v/>
      </c>
      <c r="S80">
        <f t="shared" ca="1" si="20"/>
        <v>0</v>
      </c>
      <c r="T80">
        <f t="shared" ca="1" si="21"/>
        <v>2.007100000000015</v>
      </c>
      <c r="U80" s="200" t="s">
        <v>264</v>
      </c>
      <c r="V80">
        <f t="shared" ca="1" si="22"/>
        <v>0</v>
      </c>
      <c r="W80">
        <f t="shared" ca="1" si="23"/>
        <v>0</v>
      </c>
      <c r="X80">
        <f t="shared" ca="1" si="24"/>
        <v>0</v>
      </c>
      <c r="AB80">
        <f t="shared" si="15"/>
        <v>74</v>
      </c>
      <c r="AC80" s="189" t="str">
        <f t="shared" ca="1" si="16"/>
        <v/>
      </c>
      <c r="AD80" s="190" t="str">
        <f t="shared" ca="1" si="17"/>
        <v/>
      </c>
      <c r="AE80" s="191" t="str">
        <f t="shared" ca="1" si="13"/>
        <v/>
      </c>
      <c r="AF80" s="191" t="str">
        <f t="shared" ca="1" si="14"/>
        <v/>
      </c>
      <c r="AG80" s="191"/>
      <c r="AH80" s="192">
        <f t="shared" ca="1" si="18"/>
        <v>0</v>
      </c>
      <c r="AI80" s="233" t="str">
        <f t="shared" ca="1" si="19"/>
        <v/>
      </c>
    </row>
    <row r="81" spans="1:35" ht="15">
      <c r="A81" s="73" t="str">
        <f>IF(Calc!AM82&lt;&gt;"",Calc!AM82,"")</f>
        <v/>
      </c>
      <c r="B81" s="74">
        <f>IF(Calc!AN82&lt;&gt;"",Calc!AN82,"")</f>
        <v>0</v>
      </c>
      <c r="C81" s="74" t="str">
        <f ca="1">IF(Calc!AO82&lt;&gt;"",Calc!AO82,"")</f>
        <v/>
      </c>
      <c r="D81" s="75" t="str">
        <f ca="1">IF(Calc!AP82&lt;&gt;"",Calc!AP82,"")</f>
        <v/>
      </c>
      <c r="E81" s="77" t="str">
        <f ca="1">IF(Calc!AQ82&lt;&gt;"",Calc!AQ82,"")</f>
        <v/>
      </c>
      <c r="F81" s="79" t="str">
        <f>Calc!AU82</f>
        <v/>
      </c>
      <c r="G81" s="74">
        <f>Calc!AV82</f>
        <v>0</v>
      </c>
      <c r="H81" s="74" t="str">
        <f ca="1">Calc!AW82</f>
        <v/>
      </c>
      <c r="I81" s="75" t="str">
        <f ca="1">Calc!AX82</f>
        <v/>
      </c>
      <c r="J81" s="76" t="str">
        <f ca="1">Calc!AY82</f>
        <v/>
      </c>
      <c r="S81">
        <f t="shared" ca="1" si="20"/>
        <v>0</v>
      </c>
      <c r="T81">
        <f t="shared" ca="1" si="21"/>
        <v>2.0072000000000152</v>
      </c>
      <c r="U81" s="200" t="s">
        <v>264</v>
      </c>
      <c r="V81">
        <f t="shared" ca="1" si="22"/>
        <v>0</v>
      </c>
      <c r="W81">
        <f t="shared" ca="1" si="23"/>
        <v>0</v>
      </c>
      <c r="X81">
        <f t="shared" ca="1" si="24"/>
        <v>0</v>
      </c>
      <c r="AB81">
        <f t="shared" si="15"/>
        <v>75</v>
      </c>
      <c r="AC81" s="189" t="str">
        <f t="shared" ca="1" si="16"/>
        <v/>
      </c>
      <c r="AD81" s="190" t="str">
        <f t="shared" ca="1" si="17"/>
        <v/>
      </c>
      <c r="AE81" s="191" t="str">
        <f t="shared" ca="1" si="13"/>
        <v/>
      </c>
      <c r="AF81" s="191" t="str">
        <f t="shared" ca="1" si="14"/>
        <v/>
      </c>
      <c r="AG81" s="191"/>
      <c r="AH81" s="192">
        <f t="shared" ca="1" si="18"/>
        <v>0</v>
      </c>
      <c r="AI81" s="233" t="str">
        <f t="shared" ca="1" si="19"/>
        <v/>
      </c>
    </row>
    <row r="82" spans="1:35" ht="15">
      <c r="A82" s="73" t="str">
        <f>IF(Calc!AM83&lt;&gt;"",Calc!AM83,"")</f>
        <v/>
      </c>
      <c r="B82" s="74">
        <f>IF(Calc!AN83&lt;&gt;"",Calc!AN83,"")</f>
        <v>0</v>
      </c>
      <c r="C82" s="74" t="str">
        <f ca="1">IF(Calc!AO83&lt;&gt;"",Calc!AO83,"")</f>
        <v/>
      </c>
      <c r="D82" s="75" t="str">
        <f ca="1">IF(Calc!AP83&lt;&gt;"",Calc!AP83,"")</f>
        <v/>
      </c>
      <c r="E82" s="77" t="str">
        <f ca="1">IF(Calc!AQ83&lt;&gt;"",Calc!AQ83,"")</f>
        <v/>
      </c>
      <c r="F82" s="79" t="str">
        <f>Calc!AU83</f>
        <v/>
      </c>
      <c r="G82" s="74">
        <f>Calc!AV83</f>
        <v>0</v>
      </c>
      <c r="H82" s="74" t="str">
        <f ca="1">Calc!AW83</f>
        <v/>
      </c>
      <c r="I82" s="75" t="str">
        <f ca="1">Calc!AX83</f>
        <v/>
      </c>
      <c r="J82" s="76" t="str">
        <f ca="1">Calc!AY83</f>
        <v/>
      </c>
      <c r="S82">
        <f t="shared" ca="1" si="20"/>
        <v>0</v>
      </c>
      <c r="T82">
        <f t="shared" ca="1" si="21"/>
        <v>2.0073000000000154</v>
      </c>
      <c r="U82" s="200" t="s">
        <v>264</v>
      </c>
      <c r="V82">
        <f t="shared" ca="1" si="22"/>
        <v>0</v>
      </c>
      <c r="W82">
        <f t="shared" ca="1" si="23"/>
        <v>0</v>
      </c>
      <c r="X82">
        <f t="shared" ca="1" si="24"/>
        <v>0</v>
      </c>
      <c r="AB82">
        <f t="shared" si="15"/>
        <v>76</v>
      </c>
      <c r="AC82" s="189" t="str">
        <f t="shared" ca="1" si="16"/>
        <v/>
      </c>
      <c r="AD82" s="190" t="str">
        <f t="shared" ca="1" si="17"/>
        <v/>
      </c>
      <c r="AE82" s="191" t="str">
        <f t="shared" ca="1" si="13"/>
        <v/>
      </c>
      <c r="AF82" s="191" t="str">
        <f t="shared" ca="1" si="14"/>
        <v/>
      </c>
      <c r="AG82" s="191"/>
      <c r="AH82" s="192">
        <f t="shared" ca="1" si="18"/>
        <v>0</v>
      </c>
      <c r="AI82" s="233" t="str">
        <f t="shared" ca="1" si="19"/>
        <v/>
      </c>
    </row>
    <row r="83" spans="1:35" ht="15">
      <c r="A83" s="73" t="str">
        <f>IF(Calc!AM84&lt;&gt;"",Calc!AM84,"")</f>
        <v/>
      </c>
      <c r="B83" s="74">
        <f>IF(Calc!AN84&lt;&gt;"",Calc!AN84,"")</f>
        <v>0</v>
      </c>
      <c r="C83" s="74" t="str">
        <f ca="1">IF(Calc!AO84&lt;&gt;"",Calc!AO84,"")</f>
        <v/>
      </c>
      <c r="D83" s="75" t="str">
        <f ca="1">IF(Calc!AP84&lt;&gt;"",Calc!AP84,"")</f>
        <v/>
      </c>
      <c r="E83" s="77" t="str">
        <f ca="1">IF(Calc!AQ84&lt;&gt;"",Calc!AQ84,"")</f>
        <v/>
      </c>
      <c r="F83" s="79" t="str">
        <f>Calc!AU84</f>
        <v/>
      </c>
      <c r="G83" s="74">
        <f>Calc!AV84</f>
        <v>0</v>
      </c>
      <c r="H83" s="74" t="str">
        <f ca="1">Calc!AW84</f>
        <v/>
      </c>
      <c r="I83" s="75" t="str">
        <f ca="1">Calc!AX84</f>
        <v/>
      </c>
      <c r="J83" s="76" t="str">
        <f ca="1">Calc!AY84</f>
        <v/>
      </c>
      <c r="S83">
        <f t="shared" ca="1" si="20"/>
        <v>0</v>
      </c>
      <c r="T83">
        <f t="shared" ca="1" si="21"/>
        <v>2.0074000000000156</v>
      </c>
      <c r="U83" s="200" t="s">
        <v>264</v>
      </c>
      <c r="V83">
        <f t="shared" ca="1" si="22"/>
        <v>0</v>
      </c>
      <c r="W83">
        <f t="shared" ca="1" si="23"/>
        <v>0</v>
      </c>
      <c r="X83">
        <f t="shared" ca="1" si="24"/>
        <v>0</v>
      </c>
      <c r="AB83">
        <f t="shared" si="15"/>
        <v>77</v>
      </c>
      <c r="AC83" s="189" t="str">
        <f t="shared" ca="1" si="16"/>
        <v/>
      </c>
      <c r="AD83" s="190" t="str">
        <f t="shared" ca="1" si="17"/>
        <v/>
      </c>
      <c r="AE83" s="191" t="str">
        <f t="shared" ca="1" si="13"/>
        <v/>
      </c>
      <c r="AF83" s="191" t="str">
        <f t="shared" ca="1" si="14"/>
        <v/>
      </c>
      <c r="AG83" s="191"/>
      <c r="AH83" s="192">
        <f t="shared" ca="1" si="18"/>
        <v>0</v>
      </c>
      <c r="AI83" s="233" t="str">
        <f t="shared" ca="1" si="19"/>
        <v/>
      </c>
    </row>
    <row r="84" spans="1:35" ht="15">
      <c r="A84" s="73" t="str">
        <f>IF(Calc!AM85&lt;&gt;"",Calc!AM85,"")</f>
        <v/>
      </c>
      <c r="B84" s="74">
        <f>IF(Calc!AN85&lt;&gt;"",Calc!AN85,"")</f>
        <v>0</v>
      </c>
      <c r="C84" s="74" t="str">
        <f ca="1">IF(Calc!AO85&lt;&gt;"",Calc!AO85,"")</f>
        <v/>
      </c>
      <c r="D84" s="75" t="str">
        <f ca="1">IF(Calc!AP85&lt;&gt;"",Calc!AP85,"")</f>
        <v/>
      </c>
      <c r="E84" s="77" t="str">
        <f ca="1">IF(Calc!AQ85&lt;&gt;"",Calc!AQ85,"")</f>
        <v/>
      </c>
      <c r="F84" s="79" t="str">
        <f>Calc!AU85</f>
        <v/>
      </c>
      <c r="G84" s="74">
        <f>Calc!AV85</f>
        <v>0</v>
      </c>
      <c r="H84" s="74" t="str">
        <f ca="1">Calc!AW85</f>
        <v/>
      </c>
      <c r="I84" s="75" t="str">
        <f ca="1">Calc!AX85</f>
        <v/>
      </c>
      <c r="J84" s="76" t="str">
        <f ca="1">Calc!AY85</f>
        <v/>
      </c>
      <c r="S84">
        <f t="shared" ca="1" si="20"/>
        <v>0</v>
      </c>
      <c r="T84">
        <f t="shared" ca="1" si="21"/>
        <v>2.0075000000000158</v>
      </c>
      <c r="U84" s="200" t="s">
        <v>264</v>
      </c>
      <c r="V84">
        <f t="shared" ca="1" si="22"/>
        <v>0</v>
      </c>
      <c r="W84">
        <f t="shared" ca="1" si="23"/>
        <v>0</v>
      </c>
      <c r="X84">
        <f t="shared" ca="1" si="24"/>
        <v>0</v>
      </c>
      <c r="AB84">
        <f t="shared" si="15"/>
        <v>78</v>
      </c>
      <c r="AC84" s="189" t="str">
        <f t="shared" ca="1" si="16"/>
        <v/>
      </c>
      <c r="AD84" s="190" t="str">
        <f t="shared" ca="1" si="17"/>
        <v/>
      </c>
      <c r="AE84" s="191" t="str">
        <f t="shared" ca="1" si="13"/>
        <v/>
      </c>
      <c r="AF84" s="191" t="str">
        <f t="shared" ca="1" si="14"/>
        <v/>
      </c>
      <c r="AG84" s="191"/>
      <c r="AH84" s="192">
        <f t="shared" ca="1" si="18"/>
        <v>0</v>
      </c>
      <c r="AI84" s="233" t="str">
        <f t="shared" ca="1" si="19"/>
        <v/>
      </c>
    </row>
    <row r="85" spans="1:35" ht="15">
      <c r="A85" s="73" t="str">
        <f>IF(Calc!AM86&lt;&gt;"",Calc!AM86,"")</f>
        <v/>
      </c>
      <c r="B85" s="74">
        <f>IF(Calc!AN86&lt;&gt;"",Calc!AN86,"")</f>
        <v>0</v>
      </c>
      <c r="C85" s="74" t="str">
        <f ca="1">IF(Calc!AO86&lt;&gt;"",Calc!AO86,"")</f>
        <v/>
      </c>
      <c r="D85" s="75" t="str">
        <f ca="1">IF(Calc!AP86&lt;&gt;"",Calc!AP86,"")</f>
        <v/>
      </c>
      <c r="E85" s="77" t="str">
        <f ca="1">IF(Calc!AQ86&lt;&gt;"",Calc!AQ86,"")</f>
        <v/>
      </c>
      <c r="F85" s="79" t="str">
        <f>Calc!AU86</f>
        <v/>
      </c>
      <c r="G85" s="74">
        <f>Calc!AV86</f>
        <v>0</v>
      </c>
      <c r="H85" s="74" t="str">
        <f ca="1">Calc!AW86</f>
        <v/>
      </c>
      <c r="I85" s="75" t="str">
        <f ca="1">Calc!AX86</f>
        <v/>
      </c>
      <c r="J85" s="76" t="str">
        <f ca="1">Calc!AY86</f>
        <v/>
      </c>
      <c r="S85">
        <f t="shared" ca="1" si="20"/>
        <v>0</v>
      </c>
      <c r="T85">
        <f t="shared" ca="1" si="21"/>
        <v>2.007600000000016</v>
      </c>
      <c r="U85" s="200" t="s">
        <v>264</v>
      </c>
      <c r="V85">
        <f t="shared" ca="1" si="22"/>
        <v>0</v>
      </c>
      <c r="W85">
        <f t="shared" ca="1" si="23"/>
        <v>0</v>
      </c>
      <c r="X85">
        <f t="shared" ca="1" si="24"/>
        <v>0</v>
      </c>
      <c r="AB85">
        <f t="shared" si="15"/>
        <v>79</v>
      </c>
      <c r="AC85" s="189" t="str">
        <f t="shared" ca="1" si="16"/>
        <v/>
      </c>
      <c r="AD85" s="190" t="str">
        <f t="shared" ca="1" si="17"/>
        <v/>
      </c>
      <c r="AE85" s="191" t="str">
        <f t="shared" ca="1" si="13"/>
        <v/>
      </c>
      <c r="AF85" s="191" t="str">
        <f t="shared" ca="1" si="14"/>
        <v/>
      </c>
      <c r="AG85" s="191"/>
      <c r="AH85" s="192">
        <f t="shared" ca="1" si="18"/>
        <v>0</v>
      </c>
      <c r="AI85" s="233" t="str">
        <f t="shared" ca="1" si="19"/>
        <v/>
      </c>
    </row>
    <row r="86" spans="1:35" ht="15">
      <c r="A86" s="73" t="str">
        <f>IF(Calc!AM87&lt;&gt;"",Calc!AM87,"")</f>
        <v/>
      </c>
      <c r="B86" s="74">
        <f>IF(Calc!AN87&lt;&gt;"",Calc!AN87,"")</f>
        <v>0</v>
      </c>
      <c r="C86" s="74" t="str">
        <f ca="1">IF(Calc!AO87&lt;&gt;"",Calc!AO87,"")</f>
        <v/>
      </c>
      <c r="D86" s="75" t="str">
        <f ca="1">IF(Calc!AP87&lt;&gt;"",Calc!AP87,"")</f>
        <v/>
      </c>
      <c r="E86" s="77" t="str">
        <f ca="1">IF(Calc!AQ87&lt;&gt;"",Calc!AQ87,"")</f>
        <v/>
      </c>
      <c r="F86" s="79" t="str">
        <f>Calc!AU87</f>
        <v/>
      </c>
      <c r="G86" s="74">
        <f>Calc!AV87</f>
        <v>0</v>
      </c>
      <c r="H86" s="74" t="str">
        <f ca="1">Calc!AW87</f>
        <v/>
      </c>
      <c r="I86" s="75" t="str">
        <f ca="1">Calc!AX87</f>
        <v/>
      </c>
      <c r="J86" s="76" t="str">
        <f ca="1">Calc!AY87</f>
        <v/>
      </c>
      <c r="S86">
        <f t="shared" ca="1" si="20"/>
        <v>0</v>
      </c>
      <c r="T86">
        <f t="shared" ca="1" si="21"/>
        <v>2.0077000000000162</v>
      </c>
      <c r="U86" s="200" t="s">
        <v>264</v>
      </c>
      <c r="V86">
        <f t="shared" ca="1" si="22"/>
        <v>0</v>
      </c>
      <c r="W86">
        <f t="shared" ca="1" si="23"/>
        <v>0</v>
      </c>
      <c r="X86">
        <f t="shared" ca="1" si="24"/>
        <v>0</v>
      </c>
      <c r="AB86">
        <f t="shared" si="15"/>
        <v>80</v>
      </c>
      <c r="AC86" s="189" t="str">
        <f t="shared" ca="1" si="16"/>
        <v/>
      </c>
      <c r="AD86" s="190" t="str">
        <f t="shared" ca="1" si="17"/>
        <v/>
      </c>
      <c r="AE86" s="191" t="str">
        <f t="shared" ca="1" si="13"/>
        <v/>
      </c>
      <c r="AF86" s="191" t="str">
        <f t="shared" ca="1" si="14"/>
        <v/>
      </c>
      <c r="AG86" s="191"/>
      <c r="AH86" s="192">
        <f t="shared" ca="1" si="18"/>
        <v>0</v>
      </c>
      <c r="AI86" s="233" t="str">
        <f t="shared" ca="1" si="19"/>
        <v/>
      </c>
    </row>
    <row r="87" spans="1:35" ht="15">
      <c r="A87" s="73" t="str">
        <f>IF(Calc!AM88&lt;&gt;"",Calc!AM88,"")</f>
        <v/>
      </c>
      <c r="B87" s="74">
        <f>IF(Calc!AN88&lt;&gt;"",Calc!AN88,"")</f>
        <v>0</v>
      </c>
      <c r="C87" s="74" t="str">
        <f ca="1">IF(Calc!AO88&lt;&gt;"",Calc!AO88,"")</f>
        <v/>
      </c>
      <c r="D87" s="75" t="str">
        <f ca="1">IF(Calc!AP88&lt;&gt;"",Calc!AP88,"")</f>
        <v/>
      </c>
      <c r="E87" s="77" t="str">
        <f ca="1">IF(Calc!AQ88&lt;&gt;"",Calc!AQ88,"")</f>
        <v/>
      </c>
      <c r="F87" s="79" t="str">
        <f>Calc!AU88</f>
        <v/>
      </c>
      <c r="G87" s="74">
        <f>Calc!AV88</f>
        <v>0</v>
      </c>
      <c r="H87" s="74" t="str">
        <f ca="1">Calc!AW88</f>
        <v/>
      </c>
      <c r="I87" s="75" t="str">
        <f ca="1">Calc!AX88</f>
        <v/>
      </c>
      <c r="J87" s="76" t="str">
        <f ca="1">Calc!AY88</f>
        <v/>
      </c>
      <c r="S87">
        <f t="shared" ca="1" si="20"/>
        <v>0</v>
      </c>
      <c r="T87">
        <f t="shared" ca="1" si="21"/>
        <v>2.0078000000000165</v>
      </c>
      <c r="U87" s="200" t="s">
        <v>264</v>
      </c>
      <c r="V87">
        <f t="shared" ca="1" si="22"/>
        <v>0</v>
      </c>
      <c r="W87">
        <f t="shared" ca="1" si="23"/>
        <v>0</v>
      </c>
      <c r="X87">
        <f t="shared" ca="1" si="24"/>
        <v>0</v>
      </c>
      <c r="AB87">
        <f t="shared" si="15"/>
        <v>81</v>
      </c>
      <c r="AC87" s="189" t="str">
        <f t="shared" ca="1" si="16"/>
        <v/>
      </c>
      <c r="AD87" s="190" t="str">
        <f t="shared" ca="1" si="17"/>
        <v/>
      </c>
      <c r="AE87" s="191" t="str">
        <f t="shared" ca="1" si="13"/>
        <v/>
      </c>
      <c r="AF87" s="191" t="str">
        <f t="shared" ca="1" si="14"/>
        <v/>
      </c>
      <c r="AG87" s="191"/>
      <c r="AH87" s="192">
        <f t="shared" ca="1" si="18"/>
        <v>0</v>
      </c>
      <c r="AI87" s="233" t="str">
        <f t="shared" ca="1" si="19"/>
        <v/>
      </c>
    </row>
    <row r="88" spans="1:35" ht="15">
      <c r="A88" s="73" t="str">
        <f>IF(Calc!AM89&lt;&gt;"",Calc!AM89,"")</f>
        <v/>
      </c>
      <c r="B88" s="74">
        <f>IF(Calc!AN89&lt;&gt;"",Calc!AN89,"")</f>
        <v>0</v>
      </c>
      <c r="C88" s="74" t="str">
        <f ca="1">IF(Calc!AO89&lt;&gt;"",Calc!AO89,"")</f>
        <v/>
      </c>
      <c r="D88" s="75" t="str">
        <f ca="1">IF(Calc!AP89&lt;&gt;"",Calc!AP89,"")</f>
        <v/>
      </c>
      <c r="E88" s="77" t="str">
        <f ca="1">IF(Calc!AQ89&lt;&gt;"",Calc!AQ89,"")</f>
        <v/>
      </c>
      <c r="F88" s="79" t="str">
        <f>Calc!AU89</f>
        <v/>
      </c>
      <c r="G88" s="74">
        <f>Calc!AV89</f>
        <v>0</v>
      </c>
      <c r="H88" s="74" t="str">
        <f ca="1">Calc!AW89</f>
        <v/>
      </c>
      <c r="I88" s="75" t="str">
        <f ca="1">Calc!AX89</f>
        <v/>
      </c>
      <c r="J88" s="76" t="str">
        <f ca="1">Calc!AY89</f>
        <v/>
      </c>
      <c r="S88">
        <f t="shared" ca="1" si="20"/>
        <v>0</v>
      </c>
      <c r="T88">
        <f t="shared" ca="1" si="21"/>
        <v>2.0079000000000167</v>
      </c>
      <c r="U88" s="200" t="s">
        <v>264</v>
      </c>
      <c r="V88">
        <f t="shared" ca="1" si="22"/>
        <v>0</v>
      </c>
      <c r="W88">
        <f t="shared" ca="1" si="23"/>
        <v>0</v>
      </c>
      <c r="X88">
        <f t="shared" ca="1" si="24"/>
        <v>0</v>
      </c>
      <c r="AB88">
        <f t="shared" si="15"/>
        <v>82</v>
      </c>
      <c r="AC88" s="189" t="str">
        <f t="shared" ca="1" si="16"/>
        <v/>
      </c>
      <c r="AD88" s="190" t="str">
        <f t="shared" ca="1" si="17"/>
        <v/>
      </c>
      <c r="AE88" s="191" t="str">
        <f t="shared" ca="1" si="13"/>
        <v/>
      </c>
      <c r="AF88" s="191" t="str">
        <f t="shared" ca="1" si="14"/>
        <v/>
      </c>
      <c r="AG88" s="191"/>
      <c r="AH88" s="192">
        <f t="shared" ca="1" si="18"/>
        <v>0</v>
      </c>
      <c r="AI88" s="233" t="str">
        <f t="shared" ca="1" si="19"/>
        <v/>
      </c>
    </row>
    <row r="89" spans="1:35" ht="15">
      <c r="A89" s="73" t="str">
        <f>IF(Calc!AM90&lt;&gt;"",Calc!AM90,"")</f>
        <v/>
      </c>
      <c r="B89" s="74">
        <f>IF(Calc!AN90&lt;&gt;"",Calc!AN90,"")</f>
        <v>0</v>
      </c>
      <c r="C89" s="74" t="str">
        <f ca="1">IF(Calc!AO90&lt;&gt;"",Calc!AO90,"")</f>
        <v/>
      </c>
      <c r="D89" s="75" t="str">
        <f ca="1">IF(Calc!AP90&lt;&gt;"",Calc!AP90,"")</f>
        <v/>
      </c>
      <c r="E89" s="77" t="str">
        <f ca="1">IF(Calc!AQ90&lt;&gt;"",Calc!AQ90,"")</f>
        <v/>
      </c>
      <c r="F89" s="79" t="str">
        <f>Calc!AU90</f>
        <v/>
      </c>
      <c r="G89" s="74">
        <f>Calc!AV90</f>
        <v>0</v>
      </c>
      <c r="H89" s="74" t="str">
        <f ca="1">Calc!AW90</f>
        <v/>
      </c>
      <c r="I89" s="75" t="str">
        <f ca="1">Calc!AX90</f>
        <v/>
      </c>
      <c r="J89" s="76" t="str">
        <f ca="1">Calc!AY90</f>
        <v/>
      </c>
      <c r="S89">
        <f t="shared" ca="1" si="20"/>
        <v>0</v>
      </c>
      <c r="T89">
        <f t="shared" ca="1" si="21"/>
        <v>2.0080000000000169</v>
      </c>
      <c r="U89" s="200" t="s">
        <v>264</v>
      </c>
      <c r="V89">
        <f t="shared" ca="1" si="22"/>
        <v>0</v>
      </c>
      <c r="W89">
        <f t="shared" ca="1" si="23"/>
        <v>0</v>
      </c>
      <c r="X89">
        <f t="shared" ca="1" si="24"/>
        <v>0</v>
      </c>
      <c r="AB89">
        <f t="shared" si="15"/>
        <v>83</v>
      </c>
      <c r="AC89" s="189" t="str">
        <f t="shared" ca="1" si="16"/>
        <v/>
      </c>
      <c r="AD89" s="190" t="str">
        <f t="shared" ca="1" si="17"/>
        <v/>
      </c>
      <c r="AE89" s="191" t="str">
        <f t="shared" ca="1" si="13"/>
        <v/>
      </c>
      <c r="AF89" s="191" t="str">
        <f t="shared" ca="1" si="14"/>
        <v/>
      </c>
      <c r="AG89" s="191"/>
      <c r="AH89" s="192">
        <f t="shared" ca="1" si="18"/>
        <v>0</v>
      </c>
      <c r="AI89" s="233" t="str">
        <f t="shared" ca="1" si="19"/>
        <v/>
      </c>
    </row>
    <row r="90" spans="1:35" ht="15">
      <c r="A90" s="73" t="str">
        <f>IF(Calc!AM91&lt;&gt;"",Calc!AM91,"")</f>
        <v/>
      </c>
      <c r="B90" s="74">
        <f>IF(Calc!AN91&lt;&gt;"",Calc!AN91,"")</f>
        <v>0</v>
      </c>
      <c r="C90" s="74" t="str">
        <f ca="1">IF(Calc!AO91&lt;&gt;"",Calc!AO91,"")</f>
        <v/>
      </c>
      <c r="D90" s="75" t="str">
        <f ca="1">IF(Calc!AP91&lt;&gt;"",Calc!AP91,"")</f>
        <v/>
      </c>
      <c r="E90" s="77" t="str">
        <f ca="1">IF(Calc!AQ91&lt;&gt;"",Calc!AQ91,"")</f>
        <v/>
      </c>
      <c r="F90" s="79" t="str">
        <f>Calc!AU91</f>
        <v/>
      </c>
      <c r="G90" s="74">
        <f>Calc!AV91</f>
        <v>0</v>
      </c>
      <c r="H90" s="74" t="str">
        <f ca="1">Calc!AW91</f>
        <v/>
      </c>
      <c r="I90" s="75" t="str">
        <f ca="1">Calc!AX91</f>
        <v/>
      </c>
      <c r="J90" s="76" t="str">
        <f ca="1">Calc!AY91</f>
        <v/>
      </c>
      <c r="S90">
        <f t="shared" ca="1" si="20"/>
        <v>0</v>
      </c>
      <c r="T90">
        <f t="shared" ca="1" si="21"/>
        <v>2.0081000000000171</v>
      </c>
      <c r="U90" s="200" t="s">
        <v>264</v>
      </c>
      <c r="V90">
        <f t="shared" ca="1" si="22"/>
        <v>0</v>
      </c>
      <c r="W90">
        <f t="shared" ca="1" si="23"/>
        <v>0</v>
      </c>
      <c r="X90">
        <f t="shared" ca="1" si="24"/>
        <v>0</v>
      </c>
      <c r="AB90">
        <f t="shared" si="15"/>
        <v>84</v>
      </c>
      <c r="AC90" s="189" t="str">
        <f t="shared" ca="1" si="16"/>
        <v/>
      </c>
      <c r="AD90" s="190" t="str">
        <f t="shared" ca="1" si="17"/>
        <v/>
      </c>
      <c r="AE90" s="191" t="str">
        <f t="shared" ca="1" si="13"/>
        <v/>
      </c>
      <c r="AF90" s="191" t="str">
        <f t="shared" ca="1" si="14"/>
        <v/>
      </c>
      <c r="AG90" s="191"/>
      <c r="AH90" s="192">
        <f t="shared" ca="1" si="18"/>
        <v>0</v>
      </c>
      <c r="AI90" s="233" t="str">
        <f t="shared" ca="1" si="19"/>
        <v/>
      </c>
    </row>
    <row r="91" spans="1:35" ht="15">
      <c r="A91" s="73" t="str">
        <f>IF(Calc!AM92&lt;&gt;"",Calc!AM92,"")</f>
        <v/>
      </c>
      <c r="B91" s="74">
        <f>IF(Calc!AN92&lt;&gt;"",Calc!AN92,"")</f>
        <v>0</v>
      </c>
      <c r="C91" s="74" t="str">
        <f ca="1">IF(Calc!AO92&lt;&gt;"",Calc!AO92,"")</f>
        <v/>
      </c>
      <c r="D91" s="75" t="str">
        <f ca="1">IF(Calc!AP92&lt;&gt;"",Calc!AP92,"")</f>
        <v/>
      </c>
      <c r="E91" s="77" t="str">
        <f ca="1">IF(Calc!AQ92&lt;&gt;"",Calc!AQ92,"")</f>
        <v/>
      </c>
      <c r="F91" s="79" t="str">
        <f>Calc!AU92</f>
        <v/>
      </c>
      <c r="G91" s="74">
        <f>Calc!AV92</f>
        <v>0</v>
      </c>
      <c r="H91" s="74" t="str">
        <f ca="1">Calc!AW92</f>
        <v/>
      </c>
      <c r="I91" s="75" t="str">
        <f ca="1">Calc!AX92</f>
        <v/>
      </c>
      <c r="J91" s="76" t="str">
        <f ca="1">Calc!AY92</f>
        <v/>
      </c>
      <c r="S91">
        <f t="shared" ca="1" si="20"/>
        <v>0</v>
      </c>
      <c r="T91">
        <f t="shared" ca="1" si="21"/>
        <v>2.0082000000000173</v>
      </c>
      <c r="U91" s="200" t="s">
        <v>264</v>
      </c>
      <c r="V91">
        <f t="shared" ca="1" si="22"/>
        <v>0</v>
      </c>
      <c r="W91">
        <f t="shared" ca="1" si="23"/>
        <v>0</v>
      </c>
      <c r="X91">
        <f t="shared" ca="1" si="24"/>
        <v>0</v>
      </c>
      <c r="AB91">
        <f t="shared" si="15"/>
        <v>85</v>
      </c>
      <c r="AC91" s="189" t="str">
        <f t="shared" ca="1" si="16"/>
        <v/>
      </c>
      <c r="AD91" s="190" t="str">
        <f t="shared" ca="1" si="17"/>
        <v/>
      </c>
      <c r="AE91" s="191" t="str">
        <f t="shared" ca="1" si="13"/>
        <v/>
      </c>
      <c r="AF91" s="191" t="str">
        <f t="shared" ca="1" si="14"/>
        <v/>
      </c>
      <c r="AG91" s="191"/>
      <c r="AH91" s="192">
        <f t="shared" ca="1" si="18"/>
        <v>0</v>
      </c>
      <c r="AI91" s="233" t="str">
        <f t="shared" ca="1" si="19"/>
        <v/>
      </c>
    </row>
    <row r="92" spans="1:35" ht="15">
      <c r="A92" s="73" t="str">
        <f>IF(Calc!AM93&lt;&gt;"",Calc!AM93,"")</f>
        <v/>
      </c>
      <c r="B92" s="74">
        <f>IF(Calc!AN93&lt;&gt;"",Calc!AN93,"")</f>
        <v>0</v>
      </c>
      <c r="C92" s="74" t="str">
        <f ca="1">IF(Calc!AO93&lt;&gt;"",Calc!AO93,"")</f>
        <v/>
      </c>
      <c r="D92" s="75" t="str">
        <f ca="1">IF(Calc!AP93&lt;&gt;"",Calc!AP93,"")</f>
        <v/>
      </c>
      <c r="E92" s="77" t="str">
        <f ca="1">IF(Calc!AQ93&lt;&gt;"",Calc!AQ93,"")</f>
        <v/>
      </c>
      <c r="F92" s="79" t="str">
        <f>Calc!AU93</f>
        <v/>
      </c>
      <c r="G92" s="74">
        <f>Calc!AV93</f>
        <v>0</v>
      </c>
      <c r="H92" s="74" t="str">
        <f ca="1">Calc!AW93</f>
        <v/>
      </c>
      <c r="I92" s="75" t="str">
        <f ca="1">Calc!AX93</f>
        <v/>
      </c>
      <c r="J92" s="76" t="str">
        <f ca="1">Calc!AY93</f>
        <v/>
      </c>
      <c r="S92">
        <f t="shared" ca="1" si="20"/>
        <v>0</v>
      </c>
      <c r="T92">
        <f t="shared" ca="1" si="21"/>
        <v>2.0083000000000175</v>
      </c>
      <c r="U92" s="200" t="s">
        <v>264</v>
      </c>
      <c r="V92">
        <f t="shared" ca="1" si="22"/>
        <v>0</v>
      </c>
      <c r="W92">
        <f t="shared" ca="1" si="23"/>
        <v>0</v>
      </c>
      <c r="X92">
        <f t="shared" ca="1" si="24"/>
        <v>0</v>
      </c>
      <c r="AB92">
        <f t="shared" si="15"/>
        <v>86</v>
      </c>
      <c r="AC92" s="189" t="str">
        <f t="shared" ca="1" si="16"/>
        <v/>
      </c>
      <c r="AD92" s="190" t="str">
        <f t="shared" ca="1" si="17"/>
        <v/>
      </c>
      <c r="AE92" s="191" t="str">
        <f t="shared" ca="1" si="13"/>
        <v/>
      </c>
      <c r="AF92" s="191" t="str">
        <f t="shared" ca="1" si="14"/>
        <v/>
      </c>
      <c r="AG92" s="191"/>
      <c r="AH92" s="192">
        <f t="shared" ca="1" si="18"/>
        <v>0</v>
      </c>
      <c r="AI92" s="233" t="str">
        <f t="shared" ca="1" si="19"/>
        <v/>
      </c>
    </row>
    <row r="93" spans="1:35" ht="15">
      <c r="A93" s="73" t="str">
        <f>IF(Calc!AM94&lt;&gt;"",Calc!AM94,"")</f>
        <v/>
      </c>
      <c r="B93" s="74">
        <f>IF(Calc!AN94&lt;&gt;"",Calc!AN94,"")</f>
        <v>0</v>
      </c>
      <c r="C93" s="74" t="str">
        <f ca="1">IF(Calc!AO94&lt;&gt;"",Calc!AO94,"")</f>
        <v/>
      </c>
      <c r="D93" s="75" t="str">
        <f ca="1">IF(Calc!AP94&lt;&gt;"",Calc!AP94,"")</f>
        <v/>
      </c>
      <c r="E93" s="77" t="str">
        <f ca="1">IF(Calc!AQ94&lt;&gt;"",Calc!AQ94,"")</f>
        <v/>
      </c>
      <c r="F93" s="79" t="str">
        <f>Calc!AU94</f>
        <v/>
      </c>
      <c r="G93" s="74">
        <f>Calc!AV94</f>
        <v>0</v>
      </c>
      <c r="H93" s="74" t="str">
        <f ca="1">Calc!AW94</f>
        <v/>
      </c>
      <c r="I93" s="75" t="str">
        <f ca="1">Calc!AX94</f>
        <v/>
      </c>
      <c r="J93" s="76" t="str">
        <f ca="1">Calc!AY94</f>
        <v/>
      </c>
      <c r="S93">
        <f t="shared" ca="1" si="20"/>
        <v>0</v>
      </c>
      <c r="T93">
        <f t="shared" ca="1" si="21"/>
        <v>2.0084000000000177</v>
      </c>
      <c r="U93" s="200" t="s">
        <v>264</v>
      </c>
      <c r="V93">
        <f t="shared" ca="1" si="22"/>
        <v>0</v>
      </c>
      <c r="W93">
        <f t="shared" ca="1" si="23"/>
        <v>0</v>
      </c>
      <c r="X93">
        <f t="shared" ca="1" si="24"/>
        <v>0</v>
      </c>
      <c r="AB93">
        <f t="shared" si="15"/>
        <v>87</v>
      </c>
      <c r="AC93" s="189" t="str">
        <f t="shared" ca="1" si="16"/>
        <v/>
      </c>
      <c r="AD93" s="190" t="str">
        <f t="shared" ca="1" si="17"/>
        <v/>
      </c>
      <c r="AE93" s="191" t="str">
        <f t="shared" ca="1" si="13"/>
        <v/>
      </c>
      <c r="AF93" s="191" t="str">
        <f t="shared" ca="1" si="14"/>
        <v/>
      </c>
      <c r="AG93" s="191"/>
      <c r="AH93" s="192">
        <f t="shared" ca="1" si="18"/>
        <v>0</v>
      </c>
      <c r="AI93" s="233" t="str">
        <f t="shared" ca="1" si="19"/>
        <v/>
      </c>
    </row>
    <row r="94" spans="1:35" ht="15">
      <c r="A94" s="73" t="str">
        <f>IF(Calc!AM95&lt;&gt;"",Calc!AM95,"")</f>
        <v/>
      </c>
      <c r="B94" s="74">
        <f>IF(Calc!AN95&lt;&gt;"",Calc!AN95,"")</f>
        <v>0</v>
      </c>
      <c r="C94" s="74" t="str">
        <f ca="1">IF(Calc!AO95&lt;&gt;"",Calc!AO95,"")</f>
        <v/>
      </c>
      <c r="D94" s="75" t="str">
        <f ca="1">IF(Calc!AP95&lt;&gt;"",Calc!AP95,"")</f>
        <v/>
      </c>
      <c r="E94" s="77" t="str">
        <f ca="1">IF(Calc!AQ95&lt;&gt;"",Calc!AQ95,"")</f>
        <v/>
      </c>
      <c r="F94" s="79" t="str">
        <f>Calc!AU95</f>
        <v/>
      </c>
      <c r="G94" s="74">
        <f>Calc!AV95</f>
        <v>0</v>
      </c>
      <c r="H94" s="74" t="str">
        <f ca="1">Calc!AW95</f>
        <v/>
      </c>
      <c r="I94" s="75" t="str">
        <f ca="1">Calc!AX95</f>
        <v/>
      </c>
      <c r="J94" s="76" t="str">
        <f ca="1">Calc!AY95</f>
        <v/>
      </c>
      <c r="S94">
        <f t="shared" ca="1" si="20"/>
        <v>0</v>
      </c>
      <c r="T94">
        <f t="shared" ca="1" si="21"/>
        <v>2.0085000000000179</v>
      </c>
      <c r="U94" s="200" t="s">
        <v>264</v>
      </c>
      <c r="V94">
        <f t="shared" ca="1" si="22"/>
        <v>0</v>
      </c>
      <c r="W94">
        <f t="shared" ca="1" si="23"/>
        <v>0</v>
      </c>
      <c r="X94">
        <f t="shared" ca="1" si="24"/>
        <v>0</v>
      </c>
      <c r="AB94">
        <f t="shared" si="15"/>
        <v>88</v>
      </c>
      <c r="AC94" s="189" t="str">
        <f t="shared" ca="1" si="16"/>
        <v/>
      </c>
      <c r="AD94" s="190" t="str">
        <f t="shared" ca="1" si="17"/>
        <v/>
      </c>
      <c r="AE94" s="191" t="str">
        <f t="shared" ca="1" si="13"/>
        <v/>
      </c>
      <c r="AF94" s="191" t="str">
        <f t="shared" ca="1" si="14"/>
        <v/>
      </c>
      <c r="AG94" s="191"/>
      <c r="AH94" s="192">
        <f t="shared" ca="1" si="18"/>
        <v>0</v>
      </c>
      <c r="AI94" s="233" t="str">
        <f t="shared" ca="1" si="19"/>
        <v/>
      </c>
    </row>
    <row r="95" spans="1:35" ht="15">
      <c r="A95" s="73" t="str">
        <f>IF(Calc!AM96&lt;&gt;"",Calc!AM96,"")</f>
        <v/>
      </c>
      <c r="B95" s="74">
        <f>IF(Calc!AN96&lt;&gt;"",Calc!AN96,"")</f>
        <v>0</v>
      </c>
      <c r="C95" s="74" t="str">
        <f ca="1">IF(Calc!AO96&lt;&gt;"",Calc!AO96,"")</f>
        <v/>
      </c>
      <c r="D95" s="75" t="str">
        <f ca="1">IF(Calc!AP96&lt;&gt;"",Calc!AP96,"")</f>
        <v/>
      </c>
      <c r="E95" s="77" t="str">
        <f ca="1">IF(Calc!AQ96&lt;&gt;"",Calc!AQ96,"")</f>
        <v/>
      </c>
      <c r="F95" s="79" t="str">
        <f>Calc!AU96</f>
        <v/>
      </c>
      <c r="G95" s="74">
        <f>Calc!AV96</f>
        <v>0</v>
      </c>
      <c r="H95" s="74" t="str">
        <f ca="1">Calc!AW96</f>
        <v/>
      </c>
      <c r="I95" s="75" t="str">
        <f ca="1">Calc!AX96</f>
        <v/>
      </c>
      <c r="J95" s="76" t="str">
        <f ca="1">Calc!AY96</f>
        <v/>
      </c>
      <c r="S95">
        <f t="shared" ca="1" si="20"/>
        <v>0</v>
      </c>
      <c r="T95">
        <f t="shared" ca="1" si="21"/>
        <v>2.0086000000000181</v>
      </c>
      <c r="U95" s="200" t="s">
        <v>264</v>
      </c>
      <c r="V95">
        <f t="shared" ca="1" si="22"/>
        <v>0</v>
      </c>
      <c r="W95">
        <f t="shared" ca="1" si="23"/>
        <v>0</v>
      </c>
      <c r="X95">
        <f t="shared" ca="1" si="24"/>
        <v>0</v>
      </c>
      <c r="AB95">
        <f t="shared" si="15"/>
        <v>89</v>
      </c>
      <c r="AC95" s="189" t="str">
        <f t="shared" ca="1" si="16"/>
        <v/>
      </c>
      <c r="AD95" s="190" t="str">
        <f t="shared" ca="1" si="17"/>
        <v/>
      </c>
      <c r="AE95" s="191" t="str">
        <f t="shared" ca="1" si="13"/>
        <v/>
      </c>
      <c r="AF95" s="191" t="str">
        <f t="shared" ca="1" si="14"/>
        <v/>
      </c>
      <c r="AG95" s="191"/>
      <c r="AH95" s="192">
        <f t="shared" ca="1" si="18"/>
        <v>0</v>
      </c>
      <c r="AI95" s="233" t="str">
        <f t="shared" ca="1" si="19"/>
        <v/>
      </c>
    </row>
    <row r="96" spans="1:35" ht="15">
      <c r="A96" s="73" t="str">
        <f>IF(Calc!AM97&lt;&gt;"",Calc!AM97,"")</f>
        <v/>
      </c>
      <c r="B96" s="74">
        <f>IF(Calc!AN97&lt;&gt;"",Calc!AN97,"")</f>
        <v>0</v>
      </c>
      <c r="C96" s="74" t="str">
        <f ca="1">IF(Calc!AO97&lt;&gt;"",Calc!AO97,"")</f>
        <v/>
      </c>
      <c r="D96" s="75" t="str">
        <f ca="1">IF(Calc!AP97&lt;&gt;"",Calc!AP97,"")</f>
        <v/>
      </c>
      <c r="E96" s="77" t="str">
        <f ca="1">IF(Calc!AQ97&lt;&gt;"",Calc!AQ97,"")</f>
        <v/>
      </c>
      <c r="F96" s="79" t="str">
        <f>Calc!AU97</f>
        <v/>
      </c>
      <c r="G96" s="74">
        <f>Calc!AV97</f>
        <v>0</v>
      </c>
      <c r="H96" s="74" t="str">
        <f ca="1">Calc!AW97</f>
        <v/>
      </c>
      <c r="I96" s="75" t="str">
        <f ca="1">Calc!AX97</f>
        <v/>
      </c>
      <c r="J96" s="76" t="str">
        <f ca="1">Calc!AY97</f>
        <v/>
      </c>
      <c r="S96">
        <f t="shared" ca="1" si="20"/>
        <v>0</v>
      </c>
      <c r="T96">
        <f t="shared" ca="1" si="21"/>
        <v>2.0087000000000184</v>
      </c>
      <c r="U96" s="200" t="s">
        <v>264</v>
      </c>
      <c r="V96">
        <f t="shared" ca="1" si="22"/>
        <v>0</v>
      </c>
      <c r="W96">
        <f t="shared" ca="1" si="23"/>
        <v>0</v>
      </c>
      <c r="X96">
        <f t="shared" ca="1" si="24"/>
        <v>0</v>
      </c>
      <c r="AB96">
        <f t="shared" si="15"/>
        <v>90</v>
      </c>
      <c r="AC96" s="189" t="str">
        <f t="shared" ca="1" si="16"/>
        <v/>
      </c>
      <c r="AD96" s="190" t="str">
        <f t="shared" ca="1" si="17"/>
        <v/>
      </c>
      <c r="AE96" s="191" t="str">
        <f t="shared" ca="1" si="13"/>
        <v/>
      </c>
      <c r="AF96" s="191" t="str">
        <f t="shared" ca="1" si="14"/>
        <v/>
      </c>
      <c r="AG96" s="191"/>
      <c r="AH96" s="192">
        <f t="shared" ca="1" si="18"/>
        <v>0</v>
      </c>
      <c r="AI96" s="233" t="str">
        <f t="shared" ca="1" si="19"/>
        <v/>
      </c>
    </row>
    <row r="97" spans="1:35" ht="15">
      <c r="A97" s="73" t="str">
        <f>IF(Calc!AM98&lt;&gt;"",Calc!AM98,"")</f>
        <v/>
      </c>
      <c r="B97" s="74">
        <f>IF(Calc!AN98&lt;&gt;"",Calc!AN98,"")</f>
        <v>0</v>
      </c>
      <c r="C97" s="74" t="str">
        <f ca="1">IF(Calc!AO98&lt;&gt;"",Calc!AO98,"")</f>
        <v/>
      </c>
      <c r="D97" s="75" t="str">
        <f ca="1">IF(Calc!AP98&lt;&gt;"",Calc!AP98,"")</f>
        <v/>
      </c>
      <c r="E97" s="77" t="str">
        <f ca="1">IF(Calc!AQ98&lt;&gt;"",Calc!AQ98,"")</f>
        <v/>
      </c>
      <c r="F97" s="79" t="str">
        <f>Calc!AU98</f>
        <v/>
      </c>
      <c r="G97" s="74">
        <f>Calc!AV98</f>
        <v>0</v>
      </c>
      <c r="H97" s="74" t="str">
        <f ca="1">Calc!AW98</f>
        <v/>
      </c>
      <c r="I97" s="75" t="str">
        <f ca="1">Calc!AX98</f>
        <v/>
      </c>
      <c r="J97" s="76" t="str">
        <f ca="1">Calc!AY98</f>
        <v/>
      </c>
      <c r="S97">
        <f t="shared" ca="1" si="20"/>
        <v>0</v>
      </c>
      <c r="T97">
        <f t="shared" ca="1" si="21"/>
        <v>2.0088000000000186</v>
      </c>
      <c r="U97" s="200" t="s">
        <v>264</v>
      </c>
      <c r="V97">
        <f t="shared" ca="1" si="22"/>
        <v>0</v>
      </c>
      <c r="W97">
        <f t="shared" ca="1" si="23"/>
        <v>0</v>
      </c>
      <c r="X97">
        <f t="shared" ca="1" si="24"/>
        <v>0</v>
      </c>
      <c r="AB97">
        <f t="shared" si="15"/>
        <v>91</v>
      </c>
      <c r="AC97" s="189" t="str">
        <f t="shared" ca="1" si="16"/>
        <v/>
      </c>
      <c r="AD97" s="190" t="str">
        <f t="shared" ca="1" si="17"/>
        <v/>
      </c>
      <c r="AE97" s="191" t="str">
        <f t="shared" ca="1" si="13"/>
        <v/>
      </c>
      <c r="AF97" s="191" t="str">
        <f t="shared" ca="1" si="14"/>
        <v/>
      </c>
      <c r="AG97" s="191"/>
      <c r="AH97" s="192">
        <f t="shared" ca="1" si="18"/>
        <v>0</v>
      </c>
      <c r="AI97" s="233" t="str">
        <f t="shared" ca="1" si="19"/>
        <v/>
      </c>
    </row>
    <row r="98" spans="1:35" ht="15">
      <c r="A98" s="73" t="str">
        <f>IF(Calc!AM99&lt;&gt;"",Calc!AM99,"")</f>
        <v/>
      </c>
      <c r="B98" s="74">
        <f>IF(Calc!AN99&lt;&gt;"",Calc!AN99,"")</f>
        <v>0</v>
      </c>
      <c r="C98" s="74" t="str">
        <f ca="1">IF(Calc!AO99&lt;&gt;"",Calc!AO99,"")</f>
        <v/>
      </c>
      <c r="D98" s="75" t="str">
        <f ca="1">IF(Calc!AP99&lt;&gt;"",Calc!AP99,"")</f>
        <v/>
      </c>
      <c r="E98" s="77" t="str">
        <f ca="1">IF(Calc!AQ99&lt;&gt;"",Calc!AQ99,"")</f>
        <v/>
      </c>
      <c r="F98" s="79" t="str">
        <f>Calc!AU99</f>
        <v/>
      </c>
      <c r="G98" s="74">
        <f>Calc!AV99</f>
        <v>0</v>
      </c>
      <c r="H98" s="74" t="str">
        <f ca="1">Calc!AW99</f>
        <v/>
      </c>
      <c r="I98" s="75" t="str">
        <f ca="1">Calc!AX99</f>
        <v/>
      </c>
      <c r="J98" s="76" t="str">
        <f ca="1">Calc!AY99</f>
        <v/>
      </c>
      <c r="S98">
        <f t="shared" ca="1" si="20"/>
        <v>0</v>
      </c>
      <c r="T98">
        <f t="shared" ca="1" si="21"/>
        <v>2.0089000000000188</v>
      </c>
      <c r="U98" s="200" t="s">
        <v>264</v>
      </c>
      <c r="V98">
        <f t="shared" ca="1" si="22"/>
        <v>0</v>
      </c>
      <c r="W98">
        <f t="shared" ca="1" si="23"/>
        <v>0</v>
      </c>
      <c r="X98">
        <f t="shared" ca="1" si="24"/>
        <v>0</v>
      </c>
      <c r="AB98">
        <f t="shared" si="15"/>
        <v>92</v>
      </c>
      <c r="AC98" s="189" t="str">
        <f t="shared" ca="1" si="16"/>
        <v/>
      </c>
      <c r="AD98" s="190" t="str">
        <f t="shared" ca="1" si="17"/>
        <v/>
      </c>
      <c r="AE98" s="191" t="str">
        <f t="shared" ca="1" si="13"/>
        <v/>
      </c>
      <c r="AF98" s="191" t="str">
        <f t="shared" ca="1" si="14"/>
        <v/>
      </c>
      <c r="AG98" s="191"/>
      <c r="AH98" s="192">
        <f t="shared" ca="1" si="18"/>
        <v>0</v>
      </c>
      <c r="AI98" s="233" t="str">
        <f t="shared" ca="1" si="19"/>
        <v/>
      </c>
    </row>
    <row r="99" spans="1:35" ht="15">
      <c r="A99" s="73" t="str">
        <f>IF(Calc!AM100&lt;&gt;"",Calc!AM100,"")</f>
        <v/>
      </c>
      <c r="B99" s="74">
        <f>IF(Calc!AN100&lt;&gt;"",Calc!AN100,"")</f>
        <v>0</v>
      </c>
      <c r="C99" s="74" t="str">
        <f ca="1">IF(Calc!AO100&lt;&gt;"",Calc!AO100,"")</f>
        <v/>
      </c>
      <c r="D99" s="75" t="str">
        <f ca="1">IF(Calc!AP100&lt;&gt;"",Calc!AP100,"")</f>
        <v/>
      </c>
      <c r="E99" s="77" t="str">
        <f ca="1">IF(Calc!AQ100&lt;&gt;"",Calc!AQ100,"")</f>
        <v/>
      </c>
      <c r="F99" s="79" t="str">
        <f>Calc!AU100</f>
        <v/>
      </c>
      <c r="G99" s="74">
        <f>Calc!AV100</f>
        <v>0</v>
      </c>
      <c r="H99" s="74" t="str">
        <f ca="1">Calc!AW100</f>
        <v/>
      </c>
      <c r="I99" s="75" t="str">
        <f ca="1">Calc!AX100</f>
        <v/>
      </c>
      <c r="J99" s="76" t="str">
        <f ca="1">Calc!AY100</f>
        <v/>
      </c>
      <c r="S99">
        <f t="shared" ca="1" si="20"/>
        <v>0</v>
      </c>
      <c r="T99">
        <f t="shared" ca="1" si="21"/>
        <v>2.009000000000019</v>
      </c>
      <c r="U99" s="200" t="s">
        <v>264</v>
      </c>
      <c r="V99">
        <f t="shared" ca="1" si="22"/>
        <v>0</v>
      </c>
      <c r="W99">
        <f t="shared" ca="1" si="23"/>
        <v>0</v>
      </c>
      <c r="X99">
        <f t="shared" ca="1" si="24"/>
        <v>0</v>
      </c>
      <c r="AB99">
        <f t="shared" si="15"/>
        <v>93</v>
      </c>
      <c r="AC99" s="189" t="str">
        <f t="shared" ca="1" si="16"/>
        <v/>
      </c>
      <c r="AD99" s="190" t="str">
        <f t="shared" ca="1" si="17"/>
        <v/>
      </c>
      <c r="AE99" s="191" t="str">
        <f t="shared" ca="1" si="13"/>
        <v/>
      </c>
      <c r="AF99" s="191" t="str">
        <f t="shared" ca="1" si="14"/>
        <v/>
      </c>
      <c r="AG99" s="191"/>
      <c r="AH99" s="192">
        <f t="shared" ca="1" si="18"/>
        <v>0</v>
      </c>
      <c r="AI99" s="233" t="str">
        <f t="shared" ca="1" si="19"/>
        <v/>
      </c>
    </row>
    <row r="100" spans="1:35" ht="15">
      <c r="A100" s="73" t="str">
        <f>IF(Calc!AM101&lt;&gt;"",Calc!AM101,"")</f>
        <v/>
      </c>
      <c r="B100" s="74">
        <f>IF(Calc!AN101&lt;&gt;"",Calc!AN101,"")</f>
        <v>0</v>
      </c>
      <c r="C100" s="74" t="str">
        <f ca="1">IF(Calc!AO101&lt;&gt;"",Calc!AO101,"")</f>
        <v/>
      </c>
      <c r="D100" s="75" t="str">
        <f ca="1">IF(Calc!AP101&lt;&gt;"",Calc!AP101,"")</f>
        <v/>
      </c>
      <c r="E100" s="77" t="str">
        <f ca="1">IF(Calc!AQ101&lt;&gt;"",Calc!AQ101,"")</f>
        <v/>
      </c>
      <c r="F100" s="79" t="str">
        <f>Calc!AU101</f>
        <v/>
      </c>
      <c r="G100" s="74">
        <f>Calc!AV101</f>
        <v>0</v>
      </c>
      <c r="H100" s="74" t="str">
        <f ca="1">Calc!AW101</f>
        <v/>
      </c>
      <c r="I100" s="75" t="str">
        <f ca="1">Calc!AX101</f>
        <v/>
      </c>
      <c r="J100" s="76" t="str">
        <f ca="1">Calc!AY101</f>
        <v/>
      </c>
      <c r="S100">
        <f t="shared" ca="1" si="20"/>
        <v>0</v>
      </c>
      <c r="T100">
        <f t="shared" ca="1" si="21"/>
        <v>2.0091000000000192</v>
      </c>
      <c r="U100" s="200" t="s">
        <v>264</v>
      </c>
      <c r="V100">
        <f t="shared" ca="1" si="22"/>
        <v>0</v>
      </c>
      <c r="W100">
        <f t="shared" ca="1" si="23"/>
        <v>0</v>
      </c>
      <c r="X100">
        <f t="shared" ca="1" si="24"/>
        <v>0</v>
      </c>
      <c r="AB100">
        <f t="shared" si="15"/>
        <v>94</v>
      </c>
      <c r="AC100" s="189" t="str">
        <f t="shared" ca="1" si="16"/>
        <v/>
      </c>
      <c r="AD100" s="190" t="str">
        <f t="shared" ca="1" si="17"/>
        <v/>
      </c>
      <c r="AE100" s="191" t="str">
        <f t="shared" ca="1" si="13"/>
        <v/>
      </c>
      <c r="AF100" s="191" t="str">
        <f t="shared" ca="1" si="14"/>
        <v/>
      </c>
      <c r="AG100" s="191"/>
      <c r="AH100" s="192">
        <f t="shared" ca="1" si="18"/>
        <v>0</v>
      </c>
      <c r="AI100" s="233" t="str">
        <f t="shared" ca="1" si="19"/>
        <v/>
      </c>
    </row>
    <row r="101" spans="1:35" ht="15">
      <c r="A101" s="73" t="str">
        <f>IF(Calc!AM102&lt;&gt;"",Calc!AM102,"")</f>
        <v/>
      </c>
      <c r="B101" s="74">
        <f>IF(Calc!AN102&lt;&gt;"",Calc!AN102,"")</f>
        <v>0</v>
      </c>
      <c r="C101" s="74" t="str">
        <f ca="1">IF(Calc!AO102&lt;&gt;"",Calc!AO102,"")</f>
        <v/>
      </c>
      <c r="D101" s="75" t="str">
        <f ca="1">IF(Calc!AP102&lt;&gt;"",Calc!AP102,"")</f>
        <v/>
      </c>
      <c r="E101" s="77" t="str">
        <f ca="1">IF(Calc!AQ102&lt;&gt;"",Calc!AQ102,"")</f>
        <v/>
      </c>
      <c r="F101" s="79" t="str">
        <f>Calc!AU102</f>
        <v/>
      </c>
      <c r="G101" s="74">
        <f>Calc!AV102</f>
        <v>0</v>
      </c>
      <c r="H101" s="74" t="str">
        <f ca="1">Calc!AW102</f>
        <v/>
      </c>
      <c r="I101" s="75" t="str">
        <f ca="1">Calc!AX102</f>
        <v/>
      </c>
      <c r="J101" s="76" t="str">
        <f ca="1">Calc!AY102</f>
        <v/>
      </c>
      <c r="S101">
        <f t="shared" ca="1" si="20"/>
        <v>0</v>
      </c>
      <c r="T101">
        <f t="shared" ca="1" si="21"/>
        <v>2.0092000000000194</v>
      </c>
      <c r="U101" s="200" t="s">
        <v>264</v>
      </c>
      <c r="V101">
        <f t="shared" ca="1" si="22"/>
        <v>0</v>
      </c>
      <c r="W101">
        <f t="shared" ca="1" si="23"/>
        <v>0</v>
      </c>
      <c r="X101">
        <f t="shared" ca="1" si="24"/>
        <v>0</v>
      </c>
      <c r="AB101">
        <f t="shared" si="15"/>
        <v>95</v>
      </c>
      <c r="AC101" s="189" t="str">
        <f t="shared" ca="1" si="16"/>
        <v/>
      </c>
      <c r="AD101" s="190" t="str">
        <f t="shared" ca="1" si="17"/>
        <v/>
      </c>
      <c r="AE101" s="191" t="str">
        <f t="shared" ca="1" si="13"/>
        <v/>
      </c>
      <c r="AF101" s="191" t="str">
        <f t="shared" ca="1" si="14"/>
        <v/>
      </c>
      <c r="AG101" s="191"/>
      <c r="AH101" s="192">
        <f t="shared" ca="1" si="18"/>
        <v>0</v>
      </c>
      <c r="AI101" s="233" t="str">
        <f t="shared" ca="1" si="19"/>
        <v/>
      </c>
    </row>
    <row r="102" spans="1:35" ht="15">
      <c r="A102" s="73" t="str">
        <f>IF(Calc!AM103&lt;&gt;"",Calc!AM103,"")</f>
        <v/>
      </c>
      <c r="B102" s="74">
        <f>IF(Calc!AN103&lt;&gt;"",Calc!AN103,"")</f>
        <v>0</v>
      </c>
      <c r="C102" s="74" t="str">
        <f ca="1">IF(Calc!AO103&lt;&gt;"",Calc!AO103,"")</f>
        <v/>
      </c>
      <c r="D102" s="75" t="str">
        <f ca="1">IF(Calc!AP103&lt;&gt;"",Calc!AP103,"")</f>
        <v/>
      </c>
      <c r="E102" s="77" t="str">
        <f ca="1">IF(Calc!AQ103&lt;&gt;"",Calc!AQ103,"")</f>
        <v/>
      </c>
      <c r="F102" s="79" t="str">
        <f>Calc!AU103</f>
        <v/>
      </c>
      <c r="G102" s="74">
        <f>Calc!AV103</f>
        <v>0</v>
      </c>
      <c r="H102" s="74" t="str">
        <f ca="1">Calc!AW103</f>
        <v/>
      </c>
      <c r="I102" s="75" t="str">
        <f ca="1">Calc!AX103</f>
        <v/>
      </c>
      <c r="J102" s="76" t="str">
        <f ca="1">Calc!AY103</f>
        <v/>
      </c>
      <c r="S102">
        <f t="shared" ca="1" si="20"/>
        <v>0</v>
      </c>
      <c r="T102">
        <f t="shared" ca="1" si="21"/>
        <v>2.0093000000000196</v>
      </c>
      <c r="U102" s="200" t="s">
        <v>264</v>
      </c>
      <c r="V102">
        <f t="shared" ca="1" si="22"/>
        <v>0</v>
      </c>
      <c r="W102">
        <f t="shared" ca="1" si="23"/>
        <v>0</v>
      </c>
      <c r="X102">
        <f t="shared" ca="1" si="24"/>
        <v>0</v>
      </c>
      <c r="AB102">
        <f t="shared" si="15"/>
        <v>96</v>
      </c>
      <c r="AC102" s="189" t="str">
        <f t="shared" ca="1" si="16"/>
        <v/>
      </c>
      <c r="AD102" s="190" t="str">
        <f t="shared" ca="1" si="17"/>
        <v/>
      </c>
      <c r="AE102" s="191" t="str">
        <f t="shared" ca="1" si="13"/>
        <v/>
      </c>
      <c r="AF102" s="191" t="str">
        <f t="shared" ca="1" si="14"/>
        <v/>
      </c>
      <c r="AG102" s="191"/>
      <c r="AH102" s="192">
        <f t="shared" ca="1" si="18"/>
        <v>0</v>
      </c>
      <c r="AI102" s="233" t="str">
        <f t="shared" ca="1" si="19"/>
        <v/>
      </c>
    </row>
    <row r="103" spans="1:35" ht="15">
      <c r="A103" s="73" t="str">
        <f>IF(Calc!AM104&lt;&gt;"",Calc!AM104,"")</f>
        <v/>
      </c>
      <c r="B103" s="74">
        <f>IF(Calc!AN104&lt;&gt;"",Calc!AN104,"")</f>
        <v>0</v>
      </c>
      <c r="C103" s="74" t="str">
        <f ca="1">IF(Calc!AO104&lt;&gt;"",Calc!AO104,"")</f>
        <v/>
      </c>
      <c r="D103" s="75" t="str">
        <f ca="1">IF(Calc!AP104&lt;&gt;"",Calc!AP104,"")</f>
        <v/>
      </c>
      <c r="E103" s="77" t="str">
        <f ca="1">IF(Calc!AQ104&lt;&gt;"",Calc!AQ104,"")</f>
        <v/>
      </c>
      <c r="F103" s="79" t="str">
        <f>Calc!AU104</f>
        <v/>
      </c>
      <c r="G103" s="74">
        <f>Calc!AV104</f>
        <v>0</v>
      </c>
      <c r="H103" s="74" t="str">
        <f ca="1">Calc!AW104</f>
        <v/>
      </c>
      <c r="I103" s="75" t="str">
        <f ca="1">Calc!AX104</f>
        <v/>
      </c>
      <c r="J103" s="76" t="str">
        <f ca="1">Calc!AY104</f>
        <v/>
      </c>
      <c r="S103">
        <f t="shared" ca="1" si="20"/>
        <v>0</v>
      </c>
      <c r="T103">
        <f t="shared" ca="1" si="21"/>
        <v>2.0094000000000198</v>
      </c>
      <c r="U103" s="200" t="s">
        <v>264</v>
      </c>
      <c r="V103">
        <f t="shared" ca="1" si="22"/>
        <v>0</v>
      </c>
      <c r="W103">
        <f t="shared" ca="1" si="23"/>
        <v>0</v>
      </c>
      <c r="X103">
        <f t="shared" ca="1" si="24"/>
        <v>0</v>
      </c>
      <c r="AB103">
        <f t="shared" si="15"/>
        <v>97</v>
      </c>
      <c r="AC103" s="189" t="str">
        <f t="shared" ca="1" si="16"/>
        <v/>
      </c>
      <c r="AD103" s="190" t="str">
        <f t="shared" ca="1" si="17"/>
        <v/>
      </c>
      <c r="AE103" s="191" t="str">
        <f t="shared" ca="1" si="13"/>
        <v/>
      </c>
      <c r="AF103" s="191" t="str">
        <f t="shared" ca="1" si="14"/>
        <v/>
      </c>
      <c r="AG103" s="191"/>
      <c r="AH103" s="192">
        <f t="shared" ca="1" si="18"/>
        <v>0</v>
      </c>
      <c r="AI103" s="233" t="str">
        <f t="shared" ca="1" si="19"/>
        <v/>
      </c>
    </row>
    <row r="104" spans="1:35" ht="15">
      <c r="A104" s="73" t="str">
        <f>IF(Calc!AM105&lt;&gt;"",Calc!AM105,"")</f>
        <v/>
      </c>
      <c r="B104" s="74">
        <f>IF(Calc!AN105&lt;&gt;"",Calc!AN105,"")</f>
        <v>0</v>
      </c>
      <c r="C104" s="74" t="str">
        <f ca="1">IF(Calc!AO105&lt;&gt;"",Calc!AO105,"")</f>
        <v/>
      </c>
      <c r="D104" s="75" t="str">
        <f ca="1">IF(Calc!AP105&lt;&gt;"",Calc!AP105,"")</f>
        <v/>
      </c>
      <c r="E104" s="77" t="str">
        <f ca="1">IF(Calc!AQ105&lt;&gt;"",Calc!AQ105,"")</f>
        <v/>
      </c>
      <c r="F104" s="79" t="str">
        <f>Calc!AU105</f>
        <v/>
      </c>
      <c r="G104" s="74">
        <f>Calc!AV105</f>
        <v>0</v>
      </c>
      <c r="H104" s="74" t="str">
        <f ca="1">Calc!AW105</f>
        <v/>
      </c>
      <c r="I104" s="75" t="str">
        <f ca="1">Calc!AX105</f>
        <v/>
      </c>
      <c r="J104" s="76" t="str">
        <f ca="1">Calc!AY105</f>
        <v/>
      </c>
      <c r="S104">
        <f t="shared" ca="1" si="20"/>
        <v>0</v>
      </c>
      <c r="T104">
        <f t="shared" ca="1" si="21"/>
        <v>2.00950000000002</v>
      </c>
      <c r="U104" s="200" t="s">
        <v>264</v>
      </c>
      <c r="V104">
        <f t="shared" ca="1" si="22"/>
        <v>0</v>
      </c>
      <c r="W104">
        <f t="shared" ca="1" si="23"/>
        <v>0</v>
      </c>
      <c r="X104">
        <f t="shared" ca="1" si="24"/>
        <v>0</v>
      </c>
      <c r="AB104">
        <f t="shared" si="15"/>
        <v>98</v>
      </c>
      <c r="AC104" s="189" t="str">
        <f t="shared" ca="1" si="16"/>
        <v/>
      </c>
      <c r="AD104" s="190" t="str">
        <f t="shared" ca="1" si="17"/>
        <v/>
      </c>
      <c r="AE104" s="191" t="str">
        <f t="shared" ca="1" si="13"/>
        <v/>
      </c>
      <c r="AF104" s="191" t="str">
        <f t="shared" ca="1" si="14"/>
        <v/>
      </c>
      <c r="AG104" s="191"/>
      <c r="AH104" s="192">
        <f t="shared" ca="1" si="18"/>
        <v>0</v>
      </c>
      <c r="AI104" s="233" t="str">
        <f t="shared" ca="1" si="19"/>
        <v/>
      </c>
    </row>
    <row r="105" spans="1:35" ht="15">
      <c r="A105" s="73" t="str">
        <f>IF(Calc!AM106&lt;&gt;"",Calc!AM106,"")</f>
        <v/>
      </c>
      <c r="B105" s="74">
        <f>IF(Calc!AN106&lt;&gt;"",Calc!AN106,"")</f>
        <v>0</v>
      </c>
      <c r="C105" s="74" t="str">
        <f ca="1">IF(Calc!AO106&lt;&gt;"",Calc!AO106,"")</f>
        <v/>
      </c>
      <c r="D105" s="75" t="str">
        <f ca="1">IF(Calc!AP106&lt;&gt;"",Calc!AP106,"")</f>
        <v/>
      </c>
      <c r="E105" s="77" t="str">
        <f ca="1">IF(Calc!AQ106&lt;&gt;"",Calc!AQ106,"")</f>
        <v/>
      </c>
      <c r="F105" s="79" t="str">
        <f>Calc!AU106</f>
        <v/>
      </c>
      <c r="G105" s="74">
        <f>Calc!AV106</f>
        <v>0</v>
      </c>
      <c r="H105" s="74" t="str">
        <f ca="1">Calc!AW106</f>
        <v/>
      </c>
      <c r="I105" s="75" t="str">
        <f ca="1">Calc!AX106</f>
        <v/>
      </c>
      <c r="J105" s="76" t="str">
        <f ca="1">Calc!AY106</f>
        <v/>
      </c>
      <c r="S105">
        <f t="shared" ca="1" si="20"/>
        <v>0</v>
      </c>
      <c r="T105">
        <f t="shared" ca="1" si="21"/>
        <v>2.0096000000000203</v>
      </c>
      <c r="U105" s="200" t="s">
        <v>264</v>
      </c>
      <c r="V105">
        <f t="shared" ca="1" si="22"/>
        <v>0</v>
      </c>
      <c r="W105">
        <f t="shared" ca="1" si="23"/>
        <v>0</v>
      </c>
      <c r="X105">
        <f t="shared" ca="1" si="24"/>
        <v>0</v>
      </c>
      <c r="AB105">
        <f t="shared" si="15"/>
        <v>99</v>
      </c>
      <c r="AC105" s="189" t="str">
        <f t="shared" ca="1" si="16"/>
        <v/>
      </c>
      <c r="AD105" s="190" t="str">
        <f t="shared" ca="1" si="17"/>
        <v/>
      </c>
      <c r="AE105" s="191" t="str">
        <f t="shared" ca="1" si="13"/>
        <v/>
      </c>
      <c r="AF105" s="191" t="str">
        <f t="shared" ca="1" si="14"/>
        <v/>
      </c>
      <c r="AG105" s="191"/>
      <c r="AH105" s="192">
        <f t="shared" ca="1" si="18"/>
        <v>0</v>
      </c>
      <c r="AI105" s="233" t="str">
        <f t="shared" ca="1" si="19"/>
        <v/>
      </c>
    </row>
    <row r="106" spans="1:35" ht="15">
      <c r="A106" s="73" t="str">
        <f>IF(Calc!AM107&lt;&gt;"",Calc!AM107,"")</f>
        <v/>
      </c>
      <c r="B106" s="74">
        <f>IF(Calc!AN107&lt;&gt;"",Calc!AN107,"")</f>
        <v>0</v>
      </c>
      <c r="C106" s="74" t="str">
        <f ca="1">IF(Calc!AO107&lt;&gt;"",Calc!AO107,"")</f>
        <v/>
      </c>
      <c r="D106" s="75" t="str">
        <f ca="1">IF(Calc!AP107&lt;&gt;"",Calc!AP107,"")</f>
        <v/>
      </c>
      <c r="E106" s="77" t="str">
        <f ca="1">IF(Calc!AQ107&lt;&gt;"",Calc!AQ107,"")</f>
        <v/>
      </c>
      <c r="F106" s="79" t="str">
        <f>Calc!AU107</f>
        <v/>
      </c>
      <c r="G106" s="74">
        <f>Calc!AV107</f>
        <v>0</v>
      </c>
      <c r="H106" s="74" t="str">
        <f ca="1">Calc!AW107</f>
        <v/>
      </c>
      <c r="I106" s="75" t="str">
        <f ca="1">Calc!AX107</f>
        <v/>
      </c>
      <c r="J106" s="76" t="str">
        <f ca="1">Calc!AY107</f>
        <v/>
      </c>
      <c r="S106">
        <f t="shared" ca="1" si="20"/>
        <v>0</v>
      </c>
      <c r="T106">
        <f t="shared" ca="1" si="21"/>
        <v>2.0097000000000205</v>
      </c>
      <c r="U106" s="200" t="s">
        <v>264</v>
      </c>
      <c r="V106">
        <f t="shared" ca="1" si="22"/>
        <v>0</v>
      </c>
      <c r="W106">
        <f t="shared" ca="1" si="23"/>
        <v>0</v>
      </c>
      <c r="X106">
        <f t="shared" ca="1" si="24"/>
        <v>0</v>
      </c>
      <c r="AB106">
        <f t="shared" si="15"/>
        <v>100</v>
      </c>
      <c r="AC106" s="189" t="str">
        <f t="shared" ca="1" si="16"/>
        <v/>
      </c>
      <c r="AD106" s="190" t="str">
        <f t="shared" ca="1" si="17"/>
        <v/>
      </c>
      <c r="AE106" s="191" t="str">
        <f t="shared" ca="1" si="13"/>
        <v/>
      </c>
      <c r="AF106" s="191" t="str">
        <f t="shared" ca="1" si="14"/>
        <v/>
      </c>
      <c r="AG106" s="191"/>
      <c r="AH106" s="192">
        <f t="shared" ca="1" si="18"/>
        <v>0</v>
      </c>
      <c r="AI106" s="233" t="str">
        <f t="shared" ca="1" si="19"/>
        <v/>
      </c>
    </row>
    <row r="107" spans="1:35" ht="15">
      <c r="A107" s="73" t="str">
        <f>IF(Calc!AM108&lt;&gt;"",Calc!AM108,"")</f>
        <v/>
      </c>
      <c r="B107" s="74">
        <f>IF(Calc!AN108&lt;&gt;"",Calc!AN108,"")</f>
        <v>0</v>
      </c>
      <c r="C107" s="74" t="str">
        <f ca="1">IF(Calc!AO108&lt;&gt;"",Calc!AO108,"")</f>
        <v/>
      </c>
      <c r="D107" s="75" t="str">
        <f ca="1">IF(Calc!AP108&lt;&gt;"",Calc!AP108,"")</f>
        <v/>
      </c>
      <c r="E107" s="77" t="str">
        <f ca="1">IF(Calc!AQ108&lt;&gt;"",Calc!AQ108,"")</f>
        <v/>
      </c>
      <c r="F107" s="79" t="str">
        <f>Calc!AU108</f>
        <v/>
      </c>
      <c r="G107" s="74">
        <f>Calc!AV108</f>
        <v>0</v>
      </c>
      <c r="H107" s="74" t="str">
        <f ca="1">Calc!AW108</f>
        <v/>
      </c>
      <c r="I107" s="75" t="str">
        <f ca="1">Calc!AX108</f>
        <v/>
      </c>
      <c r="J107" s="76" t="str">
        <f ca="1">Calc!AY108</f>
        <v/>
      </c>
      <c r="S107">
        <f t="shared" ca="1" si="20"/>
        <v>0</v>
      </c>
      <c r="T107">
        <f t="shared" ca="1" si="21"/>
        <v>2.0098000000000207</v>
      </c>
      <c r="U107" s="200" t="s">
        <v>264</v>
      </c>
      <c r="V107">
        <f t="shared" ca="1" si="22"/>
        <v>0</v>
      </c>
      <c r="W107">
        <f t="shared" ca="1" si="23"/>
        <v>0</v>
      </c>
      <c r="X107">
        <f t="shared" ca="1" si="24"/>
        <v>0</v>
      </c>
      <c r="AB107">
        <f t="shared" si="15"/>
        <v>101</v>
      </c>
      <c r="AC107" s="189" t="str">
        <f t="shared" ca="1" si="16"/>
        <v/>
      </c>
      <c r="AD107" s="190" t="str">
        <f t="shared" ca="1" si="17"/>
        <v/>
      </c>
      <c r="AE107" s="191" t="str">
        <f t="shared" ca="1" si="13"/>
        <v/>
      </c>
      <c r="AF107" s="191" t="str">
        <f t="shared" ca="1" si="14"/>
        <v/>
      </c>
      <c r="AG107" s="191"/>
      <c r="AH107" s="192">
        <f t="shared" ca="1" si="18"/>
        <v>0</v>
      </c>
      <c r="AI107" s="233" t="str">
        <f t="shared" ca="1" si="19"/>
        <v/>
      </c>
    </row>
    <row r="108" spans="1:35" ht="15">
      <c r="A108" s="73" t="str">
        <f>IF(Calc!AM109&lt;&gt;"",Calc!AM109,"")</f>
        <v/>
      </c>
      <c r="B108" s="74">
        <f>IF(Calc!AN109&lt;&gt;"",Calc!AN109,"")</f>
        <v>0</v>
      </c>
      <c r="C108" s="74" t="str">
        <f ca="1">IF(Calc!AO109&lt;&gt;"",Calc!AO109,"")</f>
        <v/>
      </c>
      <c r="D108" s="75" t="str">
        <f ca="1">IF(Calc!AP109&lt;&gt;"",Calc!AP109,"")</f>
        <v/>
      </c>
      <c r="E108" s="77" t="str">
        <f ca="1">IF(Calc!AQ109&lt;&gt;"",Calc!AQ109,"")</f>
        <v/>
      </c>
      <c r="F108" s="79" t="str">
        <f>Calc!AU109</f>
        <v/>
      </c>
      <c r="G108" s="74">
        <f>Calc!AV109</f>
        <v>0</v>
      </c>
      <c r="H108" s="74" t="str">
        <f ca="1">Calc!AW109</f>
        <v/>
      </c>
      <c r="I108" s="75" t="str">
        <f ca="1">Calc!AX109</f>
        <v/>
      </c>
      <c r="J108" s="76" t="str">
        <f ca="1">Calc!AY109</f>
        <v/>
      </c>
      <c r="S108">
        <f t="shared" ca="1" si="20"/>
        <v>0</v>
      </c>
      <c r="T108">
        <f t="shared" ca="1" si="21"/>
        <v>2.0099000000000209</v>
      </c>
      <c r="U108" s="200" t="s">
        <v>264</v>
      </c>
      <c r="V108">
        <f t="shared" ca="1" si="22"/>
        <v>0</v>
      </c>
      <c r="W108">
        <f t="shared" ca="1" si="23"/>
        <v>0</v>
      </c>
      <c r="X108">
        <f t="shared" ca="1" si="24"/>
        <v>0</v>
      </c>
      <c r="AB108">
        <f t="shared" si="15"/>
        <v>102</v>
      </c>
      <c r="AC108" s="189" t="str">
        <f t="shared" ca="1" si="16"/>
        <v/>
      </c>
      <c r="AD108" s="190" t="str">
        <f t="shared" ca="1" si="17"/>
        <v/>
      </c>
      <c r="AE108" s="191" t="str">
        <f t="shared" ca="1" si="13"/>
        <v/>
      </c>
      <c r="AF108" s="191" t="str">
        <f t="shared" ca="1" si="14"/>
        <v/>
      </c>
      <c r="AG108" s="191"/>
      <c r="AH108" s="192">
        <f t="shared" ca="1" si="18"/>
        <v>0</v>
      </c>
      <c r="AI108" s="233" t="str">
        <f t="shared" ca="1" si="19"/>
        <v/>
      </c>
    </row>
    <row r="109" spans="1:35" ht="15">
      <c r="A109" s="73" t="str">
        <f>IF(Calc!AM110&lt;&gt;"",Calc!AM110,"")</f>
        <v/>
      </c>
      <c r="B109" s="74">
        <f>IF(Calc!AN110&lt;&gt;"",Calc!AN110,"")</f>
        <v>0</v>
      </c>
      <c r="C109" s="74" t="str">
        <f ca="1">IF(Calc!AO110&lt;&gt;"",Calc!AO110,"")</f>
        <v/>
      </c>
      <c r="D109" s="75" t="str">
        <f ca="1">IF(Calc!AP110&lt;&gt;"",Calc!AP110,"")</f>
        <v/>
      </c>
      <c r="E109" s="77" t="str">
        <f ca="1">IF(Calc!AQ110&lt;&gt;"",Calc!AQ110,"")</f>
        <v/>
      </c>
      <c r="F109" s="79" t="str">
        <f>Calc!AU110</f>
        <v/>
      </c>
      <c r="G109" s="74">
        <f>Calc!AV110</f>
        <v>0</v>
      </c>
      <c r="H109" s="74" t="str">
        <f ca="1">Calc!AW110</f>
        <v/>
      </c>
      <c r="I109" s="75" t="str">
        <f ca="1">Calc!AX110</f>
        <v/>
      </c>
      <c r="J109" s="76" t="str">
        <f ca="1">Calc!AY110</f>
        <v/>
      </c>
      <c r="S109">
        <f t="shared" ca="1" si="20"/>
        <v>0</v>
      </c>
      <c r="T109">
        <f t="shared" ca="1" si="21"/>
        <v>2.0100000000000211</v>
      </c>
      <c r="U109" s="200" t="s">
        <v>264</v>
      </c>
      <c r="V109">
        <f t="shared" ca="1" si="22"/>
        <v>0</v>
      </c>
      <c r="W109">
        <f t="shared" ca="1" si="23"/>
        <v>0</v>
      </c>
      <c r="X109">
        <f t="shared" ca="1" si="24"/>
        <v>0</v>
      </c>
      <c r="AB109">
        <f t="shared" si="15"/>
        <v>103</v>
      </c>
      <c r="AC109" s="189" t="str">
        <f t="shared" ca="1" si="16"/>
        <v/>
      </c>
      <c r="AD109" s="190" t="str">
        <f t="shared" ca="1" si="17"/>
        <v/>
      </c>
      <c r="AE109" s="191" t="str">
        <f t="shared" ca="1" si="13"/>
        <v/>
      </c>
      <c r="AF109" s="191" t="str">
        <f t="shared" ca="1" si="14"/>
        <v/>
      </c>
      <c r="AG109" s="191"/>
      <c r="AH109" s="192">
        <f t="shared" ca="1" si="18"/>
        <v>0</v>
      </c>
      <c r="AI109" s="233" t="str">
        <f t="shared" ca="1" si="19"/>
        <v/>
      </c>
    </row>
    <row r="110" spans="1:35" ht="15">
      <c r="A110" s="73" t="str">
        <f>IF(Calc!AM111&lt;&gt;"",Calc!AM111,"")</f>
        <v/>
      </c>
      <c r="B110" s="74">
        <f>IF(Calc!AN111&lt;&gt;"",Calc!AN111,"")</f>
        <v>0</v>
      </c>
      <c r="C110" s="74" t="str">
        <f ca="1">IF(Calc!AO111&lt;&gt;"",Calc!AO111,"")</f>
        <v/>
      </c>
      <c r="D110" s="75" t="str">
        <f ca="1">IF(Calc!AP111&lt;&gt;"",Calc!AP111,"")</f>
        <v/>
      </c>
      <c r="E110" s="77" t="str">
        <f ca="1">IF(Calc!AQ111&lt;&gt;"",Calc!AQ111,"")</f>
        <v/>
      </c>
      <c r="F110" s="79" t="str">
        <f>Calc!AU111</f>
        <v/>
      </c>
      <c r="G110" s="74">
        <f>Calc!AV111</f>
        <v>0</v>
      </c>
      <c r="H110" s="74" t="str">
        <f ca="1">Calc!AW111</f>
        <v/>
      </c>
      <c r="I110" s="75" t="str">
        <f ca="1">Calc!AX111</f>
        <v/>
      </c>
      <c r="J110" s="76" t="str">
        <f ca="1">Calc!AY111</f>
        <v/>
      </c>
      <c r="S110">
        <f t="shared" ca="1" si="20"/>
        <v>0</v>
      </c>
      <c r="T110">
        <f t="shared" ca="1" si="21"/>
        <v>2.0101000000000213</v>
      </c>
      <c r="U110" s="200" t="s">
        <v>264</v>
      </c>
      <c r="V110">
        <f t="shared" ca="1" si="22"/>
        <v>0</v>
      </c>
      <c r="W110">
        <f t="shared" ca="1" si="23"/>
        <v>0</v>
      </c>
      <c r="X110">
        <f t="shared" ca="1" si="24"/>
        <v>0</v>
      </c>
      <c r="AB110">
        <f t="shared" si="15"/>
        <v>104</v>
      </c>
      <c r="AC110" s="189" t="str">
        <f t="shared" ca="1" si="16"/>
        <v/>
      </c>
      <c r="AD110" s="190" t="str">
        <f t="shared" ca="1" si="17"/>
        <v/>
      </c>
      <c r="AE110" s="191" t="str">
        <f t="shared" ca="1" si="13"/>
        <v/>
      </c>
      <c r="AF110" s="191" t="str">
        <f t="shared" ca="1" si="14"/>
        <v/>
      </c>
      <c r="AG110" s="191"/>
      <c r="AH110" s="192">
        <f t="shared" ca="1" si="18"/>
        <v>0</v>
      </c>
      <c r="AI110" s="233" t="str">
        <f t="shared" ca="1" si="19"/>
        <v/>
      </c>
    </row>
    <row r="111" spans="1:35" ht="15">
      <c r="A111" s="73" t="str">
        <f>IF(Calc!AM112&lt;&gt;"",Calc!AM112,"")</f>
        <v/>
      </c>
      <c r="B111" s="74">
        <f>IF(Calc!AN112&lt;&gt;"",Calc!AN112,"")</f>
        <v>0</v>
      </c>
      <c r="C111" s="74" t="str">
        <f ca="1">IF(Calc!AO112&lt;&gt;"",Calc!AO112,"")</f>
        <v/>
      </c>
      <c r="D111" s="75" t="str">
        <f ca="1">IF(Calc!AP112&lt;&gt;"",Calc!AP112,"")</f>
        <v/>
      </c>
      <c r="E111" s="77" t="str">
        <f ca="1">IF(Calc!AQ112&lt;&gt;"",Calc!AQ112,"")</f>
        <v/>
      </c>
      <c r="F111" s="79" t="str">
        <f>Calc!AU112</f>
        <v/>
      </c>
      <c r="G111" s="74">
        <f>Calc!AV112</f>
        <v>0</v>
      </c>
      <c r="H111" s="74" t="str">
        <f ca="1">Calc!AW112</f>
        <v/>
      </c>
      <c r="I111" s="75" t="str">
        <f ca="1">Calc!AX112</f>
        <v/>
      </c>
      <c r="J111" s="76" t="str">
        <f ca="1">Calc!AY112</f>
        <v/>
      </c>
      <c r="S111">
        <f t="shared" ca="1" si="20"/>
        <v>0</v>
      </c>
      <c r="T111">
        <f t="shared" ca="1" si="21"/>
        <v>2.0102000000000215</v>
      </c>
      <c r="U111" s="200" t="s">
        <v>264</v>
      </c>
      <c r="V111">
        <f t="shared" ca="1" si="22"/>
        <v>0</v>
      </c>
      <c r="W111">
        <f t="shared" ca="1" si="23"/>
        <v>0</v>
      </c>
      <c r="X111">
        <f t="shared" ca="1" si="24"/>
        <v>0</v>
      </c>
      <c r="AB111">
        <f t="shared" si="15"/>
        <v>105</v>
      </c>
      <c r="AC111" s="189" t="str">
        <f t="shared" ca="1" si="16"/>
        <v/>
      </c>
      <c r="AD111" s="190" t="str">
        <f t="shared" ca="1" si="17"/>
        <v/>
      </c>
      <c r="AE111" s="191" t="str">
        <f t="shared" ca="1" si="13"/>
        <v/>
      </c>
      <c r="AF111" s="191" t="str">
        <f t="shared" ca="1" si="14"/>
        <v/>
      </c>
      <c r="AG111" s="191"/>
      <c r="AH111" s="192">
        <f t="shared" ca="1" si="18"/>
        <v>0</v>
      </c>
      <c r="AI111" s="233" t="str">
        <f t="shared" ca="1" si="19"/>
        <v/>
      </c>
    </row>
    <row r="112" spans="1:35" ht="15">
      <c r="A112" s="73" t="str">
        <f>IF(Calc!AM113&lt;&gt;"",Calc!AM113,"")</f>
        <v/>
      </c>
      <c r="B112" s="74">
        <f>IF(Calc!AN113&lt;&gt;"",Calc!AN113,"")</f>
        <v>0</v>
      </c>
      <c r="C112" s="74" t="str">
        <f ca="1">IF(Calc!AO113&lt;&gt;"",Calc!AO113,"")</f>
        <v/>
      </c>
      <c r="D112" s="75" t="str">
        <f ca="1">IF(Calc!AP113&lt;&gt;"",Calc!AP113,"")</f>
        <v/>
      </c>
      <c r="E112" s="77" t="str">
        <f ca="1">IF(Calc!AQ113&lt;&gt;"",Calc!AQ113,"")</f>
        <v/>
      </c>
      <c r="F112" s="79" t="str">
        <f>Calc!AU113</f>
        <v/>
      </c>
      <c r="G112" s="74">
        <f>Calc!AV113</f>
        <v>0</v>
      </c>
      <c r="H112" s="74" t="str">
        <f ca="1">Calc!AW113</f>
        <v/>
      </c>
      <c r="I112" s="75" t="str">
        <f ca="1">Calc!AX113</f>
        <v/>
      </c>
      <c r="J112" s="76" t="str">
        <f ca="1">Calc!AY113</f>
        <v/>
      </c>
      <c r="S112">
        <f t="shared" ca="1" si="20"/>
        <v>0</v>
      </c>
      <c r="T112">
        <f t="shared" ca="1" si="21"/>
        <v>2.0103000000000217</v>
      </c>
      <c r="U112" s="200" t="s">
        <v>264</v>
      </c>
      <c r="V112">
        <f t="shared" ca="1" si="22"/>
        <v>0</v>
      </c>
      <c r="W112">
        <f t="shared" ca="1" si="23"/>
        <v>0</v>
      </c>
      <c r="X112">
        <f t="shared" ca="1" si="24"/>
        <v>0</v>
      </c>
      <c r="AB112">
        <f t="shared" si="15"/>
        <v>106</v>
      </c>
      <c r="AC112" s="189" t="str">
        <f t="shared" ca="1" si="16"/>
        <v/>
      </c>
      <c r="AD112" s="190" t="str">
        <f t="shared" ca="1" si="17"/>
        <v/>
      </c>
      <c r="AE112" s="191" t="str">
        <f t="shared" ca="1" si="13"/>
        <v/>
      </c>
      <c r="AF112" s="191" t="str">
        <f t="shared" ca="1" si="14"/>
        <v/>
      </c>
      <c r="AG112" s="191"/>
      <c r="AH112" s="192">
        <f t="shared" ca="1" si="18"/>
        <v>0</v>
      </c>
      <c r="AI112" s="233" t="str">
        <f t="shared" ca="1" si="19"/>
        <v/>
      </c>
    </row>
    <row r="113" spans="1:35" ht="15">
      <c r="A113" s="73" t="str">
        <f>IF(Calc!AM114&lt;&gt;"",Calc!AM114,"")</f>
        <v/>
      </c>
      <c r="B113" s="74">
        <f>IF(Calc!AN114&lt;&gt;"",Calc!AN114,"")</f>
        <v>0</v>
      </c>
      <c r="C113" s="74" t="str">
        <f ca="1">IF(Calc!AO114&lt;&gt;"",Calc!AO114,"")</f>
        <v/>
      </c>
      <c r="D113" s="75" t="str">
        <f ca="1">IF(Calc!AP114&lt;&gt;"",Calc!AP114,"")</f>
        <v/>
      </c>
      <c r="E113" s="77" t="str">
        <f ca="1">IF(Calc!AQ114&lt;&gt;"",Calc!AQ114,"")</f>
        <v/>
      </c>
      <c r="F113" s="79" t="str">
        <f>Calc!AU114</f>
        <v/>
      </c>
      <c r="G113" s="74">
        <f>Calc!AV114</f>
        <v>0</v>
      </c>
      <c r="H113" s="74" t="str">
        <f ca="1">Calc!AW114</f>
        <v/>
      </c>
      <c r="I113" s="75" t="str">
        <f ca="1">Calc!AX114</f>
        <v/>
      </c>
      <c r="J113" s="76" t="str">
        <f ca="1">Calc!AY114</f>
        <v/>
      </c>
      <c r="S113">
        <f t="shared" ca="1" si="20"/>
        <v>0</v>
      </c>
      <c r="T113">
        <f t="shared" ca="1" si="21"/>
        <v>2.0104000000000219</v>
      </c>
      <c r="U113" s="200" t="s">
        <v>264</v>
      </c>
      <c r="V113">
        <f t="shared" ca="1" si="22"/>
        <v>0</v>
      </c>
      <c r="W113">
        <f t="shared" ca="1" si="23"/>
        <v>0</v>
      </c>
      <c r="X113">
        <f t="shared" ca="1" si="24"/>
        <v>0</v>
      </c>
      <c r="AB113">
        <f t="shared" si="15"/>
        <v>107</v>
      </c>
      <c r="AC113" s="189" t="str">
        <f t="shared" ca="1" si="16"/>
        <v/>
      </c>
      <c r="AD113" s="190" t="str">
        <f t="shared" ca="1" si="17"/>
        <v/>
      </c>
      <c r="AE113" s="191" t="str">
        <f t="shared" ca="1" si="13"/>
        <v/>
      </c>
      <c r="AF113" s="191" t="str">
        <f t="shared" ca="1" si="14"/>
        <v/>
      </c>
      <c r="AG113" s="191"/>
      <c r="AH113" s="192">
        <f t="shared" ca="1" si="18"/>
        <v>0</v>
      </c>
      <c r="AI113" s="233" t="str">
        <f t="shared" ca="1" si="19"/>
        <v/>
      </c>
    </row>
    <row r="114" spans="1:35" ht="15">
      <c r="A114" s="73" t="str">
        <f>IF(Calc!AM115&lt;&gt;"",Calc!AM115,"")</f>
        <v/>
      </c>
      <c r="B114" s="74">
        <f>IF(Calc!AN115&lt;&gt;"",Calc!AN115,"")</f>
        <v>0</v>
      </c>
      <c r="C114" s="74" t="str">
        <f ca="1">IF(Calc!AO115&lt;&gt;"",Calc!AO115,"")</f>
        <v/>
      </c>
      <c r="D114" s="75" t="str">
        <f ca="1">IF(Calc!AP115&lt;&gt;"",Calc!AP115,"")</f>
        <v/>
      </c>
      <c r="E114" s="77" t="str">
        <f ca="1">IF(Calc!AQ115&lt;&gt;"",Calc!AQ115,"")</f>
        <v/>
      </c>
      <c r="F114" s="79" t="str">
        <f>Calc!AU115</f>
        <v/>
      </c>
      <c r="G114" s="74">
        <f>Calc!AV115</f>
        <v>0</v>
      </c>
      <c r="H114" s="74" t="str">
        <f ca="1">Calc!AW115</f>
        <v/>
      </c>
      <c r="I114" s="75" t="str">
        <f ca="1">Calc!AX115</f>
        <v/>
      </c>
      <c r="J114" s="76" t="str">
        <f ca="1">Calc!AY115</f>
        <v/>
      </c>
      <c r="S114">
        <f t="shared" ca="1" si="20"/>
        <v>0</v>
      </c>
      <c r="T114">
        <f t="shared" ca="1" si="21"/>
        <v>2.0105000000000222</v>
      </c>
      <c r="U114" s="200" t="s">
        <v>264</v>
      </c>
      <c r="V114">
        <f t="shared" ca="1" si="22"/>
        <v>0</v>
      </c>
      <c r="W114">
        <f t="shared" ca="1" si="23"/>
        <v>0</v>
      </c>
      <c r="X114">
        <f t="shared" ca="1" si="24"/>
        <v>0</v>
      </c>
      <c r="AB114">
        <f t="shared" si="15"/>
        <v>108</v>
      </c>
      <c r="AC114" s="189" t="str">
        <f t="shared" ca="1" si="16"/>
        <v/>
      </c>
      <c r="AD114" s="190" t="str">
        <f t="shared" ca="1" si="17"/>
        <v/>
      </c>
      <c r="AE114" s="191" t="str">
        <f t="shared" ca="1" si="13"/>
        <v/>
      </c>
      <c r="AF114" s="191" t="str">
        <f t="shared" ca="1" si="14"/>
        <v/>
      </c>
      <c r="AG114" s="191"/>
      <c r="AH114" s="192">
        <f t="shared" ca="1" si="18"/>
        <v>0</v>
      </c>
      <c r="AI114" s="233" t="str">
        <f t="shared" ca="1" si="19"/>
        <v/>
      </c>
    </row>
    <row r="115" spans="1:35" ht="15">
      <c r="A115" s="73" t="str">
        <f>IF(Calc!AM116&lt;&gt;"",Calc!AM116,"")</f>
        <v/>
      </c>
      <c r="B115" s="74">
        <f>IF(Calc!AN116&lt;&gt;"",Calc!AN116,"")</f>
        <v>0</v>
      </c>
      <c r="C115" s="74" t="str">
        <f ca="1">IF(Calc!AO116&lt;&gt;"",Calc!AO116,"")</f>
        <v/>
      </c>
      <c r="D115" s="75" t="str">
        <f ca="1">IF(Calc!AP116&lt;&gt;"",Calc!AP116,"")</f>
        <v/>
      </c>
      <c r="E115" s="77" t="str">
        <f ca="1">IF(Calc!AQ116&lt;&gt;"",Calc!AQ116,"")</f>
        <v/>
      </c>
      <c r="F115" s="79" t="str">
        <f>Calc!AU116</f>
        <v/>
      </c>
      <c r="G115" s="74">
        <f>Calc!AV116</f>
        <v>0</v>
      </c>
      <c r="H115" s="74" t="str">
        <f ca="1">Calc!AW116</f>
        <v/>
      </c>
      <c r="I115" s="75" t="str">
        <f ca="1">Calc!AX116</f>
        <v/>
      </c>
      <c r="J115" s="76" t="str">
        <f ca="1">Calc!AY116</f>
        <v/>
      </c>
      <c r="S115">
        <f t="shared" ca="1" si="20"/>
        <v>0</v>
      </c>
      <c r="T115">
        <f t="shared" ca="1" si="21"/>
        <v>2.0106000000000224</v>
      </c>
      <c r="U115" s="200" t="s">
        <v>264</v>
      </c>
      <c r="V115">
        <f t="shared" ca="1" si="22"/>
        <v>0</v>
      </c>
      <c r="W115">
        <f t="shared" ca="1" si="23"/>
        <v>0</v>
      </c>
      <c r="X115">
        <f t="shared" ca="1" si="24"/>
        <v>0</v>
      </c>
      <c r="AB115">
        <f t="shared" si="15"/>
        <v>109</v>
      </c>
      <c r="AC115" s="189" t="str">
        <f t="shared" ca="1" si="16"/>
        <v/>
      </c>
      <c r="AD115" s="190" t="str">
        <f t="shared" ca="1" si="17"/>
        <v/>
      </c>
      <c r="AE115" s="191" t="str">
        <f t="shared" ca="1" si="13"/>
        <v/>
      </c>
      <c r="AF115" s="191" t="str">
        <f t="shared" ca="1" si="14"/>
        <v/>
      </c>
      <c r="AG115" s="191"/>
      <c r="AH115" s="192">
        <f t="shared" ca="1" si="18"/>
        <v>0</v>
      </c>
      <c r="AI115" s="233" t="str">
        <f t="shared" ca="1" si="19"/>
        <v/>
      </c>
    </row>
    <row r="116" spans="1:35" ht="15">
      <c r="A116" s="73" t="str">
        <f>IF(Calc!AM117&lt;&gt;"",Calc!AM117,"")</f>
        <v/>
      </c>
      <c r="B116" s="74">
        <f>IF(Calc!AN117&lt;&gt;"",Calc!AN117,"")</f>
        <v>0</v>
      </c>
      <c r="C116" s="74" t="str">
        <f ca="1">IF(Calc!AO117&lt;&gt;"",Calc!AO117,"")</f>
        <v/>
      </c>
      <c r="D116" s="75" t="str">
        <f ca="1">IF(Calc!AP117&lt;&gt;"",Calc!AP117,"")</f>
        <v/>
      </c>
      <c r="E116" s="77" t="str">
        <f ca="1">IF(Calc!AQ117&lt;&gt;"",Calc!AQ117,"")</f>
        <v/>
      </c>
      <c r="F116" s="79" t="str">
        <f>Calc!AU117</f>
        <v/>
      </c>
      <c r="G116" s="74">
        <f>Calc!AV117</f>
        <v>0</v>
      </c>
      <c r="H116" s="74" t="str">
        <f ca="1">Calc!AW117</f>
        <v/>
      </c>
      <c r="I116" s="75" t="str">
        <f ca="1">Calc!AX117</f>
        <v/>
      </c>
      <c r="J116" s="76" t="str">
        <f ca="1">Calc!AY117</f>
        <v/>
      </c>
      <c r="S116">
        <f t="shared" ca="1" si="20"/>
        <v>0</v>
      </c>
      <c r="T116">
        <f t="shared" ca="1" si="21"/>
        <v>2.0107000000000226</v>
      </c>
      <c r="U116" s="200" t="s">
        <v>264</v>
      </c>
      <c r="V116">
        <f t="shared" ca="1" si="22"/>
        <v>0</v>
      </c>
      <c r="W116">
        <f t="shared" ca="1" si="23"/>
        <v>0</v>
      </c>
      <c r="X116">
        <f t="shared" ca="1" si="24"/>
        <v>0</v>
      </c>
      <c r="AB116">
        <f t="shared" si="15"/>
        <v>110</v>
      </c>
      <c r="AC116" s="189" t="str">
        <f t="shared" ca="1" si="16"/>
        <v/>
      </c>
      <c r="AD116" s="190" t="str">
        <f t="shared" ca="1" si="17"/>
        <v/>
      </c>
      <c r="AE116" s="191" t="str">
        <f t="shared" ca="1" si="13"/>
        <v/>
      </c>
      <c r="AF116" s="191" t="str">
        <f t="shared" ca="1" si="14"/>
        <v/>
      </c>
      <c r="AG116" s="191"/>
      <c r="AH116" s="192">
        <f t="shared" ca="1" si="18"/>
        <v>0</v>
      </c>
      <c r="AI116" s="233" t="str">
        <f t="shared" ca="1" si="19"/>
        <v/>
      </c>
    </row>
    <row r="117" spans="1:35" ht="15">
      <c r="A117" s="73" t="str">
        <f>IF(Calc!AM118&lt;&gt;"",Calc!AM118,"")</f>
        <v/>
      </c>
      <c r="B117" s="74">
        <f>IF(Calc!AN118&lt;&gt;"",Calc!AN118,"")</f>
        <v>0</v>
      </c>
      <c r="C117" s="74" t="str">
        <f ca="1">IF(Calc!AO118&lt;&gt;"",Calc!AO118,"")</f>
        <v/>
      </c>
      <c r="D117" s="75" t="str">
        <f ca="1">IF(Calc!AP118&lt;&gt;"",Calc!AP118,"")</f>
        <v/>
      </c>
      <c r="E117" s="77" t="str">
        <f ca="1">IF(Calc!AQ118&lt;&gt;"",Calc!AQ118,"")</f>
        <v/>
      </c>
      <c r="F117" s="79" t="str">
        <f>Calc!AU118</f>
        <v/>
      </c>
      <c r="G117" s="74">
        <f>Calc!AV118</f>
        <v>0</v>
      </c>
      <c r="H117" s="74" t="str">
        <f ca="1">Calc!AW118</f>
        <v/>
      </c>
      <c r="I117" s="75" t="str">
        <f ca="1">Calc!AX118</f>
        <v/>
      </c>
      <c r="J117" s="76" t="str">
        <f ca="1">Calc!AY118</f>
        <v/>
      </c>
      <c r="S117">
        <f t="shared" ca="1" si="20"/>
        <v>0</v>
      </c>
      <c r="T117">
        <f t="shared" ca="1" si="21"/>
        <v>2.0108000000000228</v>
      </c>
      <c r="U117" s="200" t="s">
        <v>264</v>
      </c>
      <c r="V117">
        <f t="shared" ca="1" si="22"/>
        <v>0</v>
      </c>
      <c r="W117">
        <f t="shared" ca="1" si="23"/>
        <v>0</v>
      </c>
      <c r="X117">
        <f t="shared" ca="1" si="24"/>
        <v>0</v>
      </c>
      <c r="AB117">
        <f t="shared" si="15"/>
        <v>111</v>
      </c>
      <c r="AC117" s="189" t="str">
        <f t="shared" ca="1" si="16"/>
        <v/>
      </c>
      <c r="AD117" s="190" t="str">
        <f t="shared" ca="1" si="17"/>
        <v/>
      </c>
      <c r="AE117" s="191" t="str">
        <f t="shared" ca="1" si="13"/>
        <v/>
      </c>
      <c r="AF117" s="191" t="str">
        <f t="shared" ca="1" si="14"/>
        <v/>
      </c>
      <c r="AG117" s="191"/>
      <c r="AH117" s="192">
        <f t="shared" ca="1" si="18"/>
        <v>0</v>
      </c>
      <c r="AI117" s="233" t="str">
        <f t="shared" ca="1" si="19"/>
        <v/>
      </c>
    </row>
    <row r="118" spans="1:35" ht="15">
      <c r="A118" s="73" t="str">
        <f>IF(Calc!AM119&lt;&gt;"",Calc!AM119,"")</f>
        <v/>
      </c>
      <c r="B118" s="74">
        <f>IF(Calc!AN119&lt;&gt;"",Calc!AN119,"")</f>
        <v>0</v>
      </c>
      <c r="C118" s="74" t="str">
        <f ca="1">IF(Calc!AO119&lt;&gt;"",Calc!AO119,"")</f>
        <v/>
      </c>
      <c r="D118" s="75" t="str">
        <f ca="1">IF(Calc!AP119&lt;&gt;"",Calc!AP119,"")</f>
        <v/>
      </c>
      <c r="E118" s="77" t="str">
        <f ca="1">IF(Calc!AQ119&lt;&gt;"",Calc!AQ119,"")</f>
        <v/>
      </c>
      <c r="F118" s="79" t="str">
        <f>Calc!AU119</f>
        <v/>
      </c>
      <c r="G118" s="74">
        <f>Calc!AV119</f>
        <v>0</v>
      </c>
      <c r="H118" s="74" t="str">
        <f ca="1">Calc!AW119</f>
        <v/>
      </c>
      <c r="I118" s="75" t="str">
        <f ca="1">Calc!AX119</f>
        <v/>
      </c>
      <c r="J118" s="76" t="str">
        <f ca="1">Calc!AY119</f>
        <v/>
      </c>
      <c r="S118">
        <f t="shared" ca="1" si="20"/>
        <v>0</v>
      </c>
      <c r="T118">
        <f t="shared" ca="1" si="21"/>
        <v>2.010900000000023</v>
      </c>
      <c r="U118" s="200" t="s">
        <v>264</v>
      </c>
      <c r="V118">
        <f t="shared" ca="1" si="22"/>
        <v>0</v>
      </c>
      <c r="W118">
        <f t="shared" ca="1" si="23"/>
        <v>0</v>
      </c>
      <c r="X118">
        <f t="shared" ca="1" si="24"/>
        <v>0</v>
      </c>
      <c r="AB118">
        <f t="shared" si="15"/>
        <v>112</v>
      </c>
      <c r="AC118" s="189" t="str">
        <f t="shared" ca="1" si="16"/>
        <v/>
      </c>
      <c r="AD118" s="190" t="str">
        <f t="shared" ca="1" si="17"/>
        <v/>
      </c>
      <c r="AE118" s="191" t="str">
        <f t="shared" ca="1" si="13"/>
        <v/>
      </c>
      <c r="AF118" s="191" t="str">
        <f t="shared" ca="1" si="14"/>
        <v/>
      </c>
      <c r="AG118" s="191"/>
      <c r="AH118" s="192">
        <f t="shared" ca="1" si="18"/>
        <v>0</v>
      </c>
      <c r="AI118" s="233" t="str">
        <f t="shared" ca="1" si="19"/>
        <v/>
      </c>
    </row>
    <row r="119" spans="1:35" ht="15">
      <c r="A119" s="73" t="str">
        <f>IF(Calc!AM120&lt;&gt;"",Calc!AM120,"")</f>
        <v/>
      </c>
      <c r="B119" s="74">
        <f>IF(Calc!AN120&lt;&gt;"",Calc!AN120,"")</f>
        <v>0</v>
      </c>
      <c r="C119" s="74" t="str">
        <f ca="1">IF(Calc!AO120&lt;&gt;"",Calc!AO120,"")</f>
        <v/>
      </c>
      <c r="D119" s="75" t="str">
        <f ca="1">IF(Calc!AP120&lt;&gt;"",Calc!AP120,"")</f>
        <v/>
      </c>
      <c r="E119" s="77" t="str">
        <f ca="1">IF(Calc!AQ120&lt;&gt;"",Calc!AQ120,"")</f>
        <v/>
      </c>
      <c r="F119" s="79" t="str">
        <f>Calc!AU120</f>
        <v/>
      </c>
      <c r="G119" s="74">
        <f>Calc!AV120</f>
        <v>0</v>
      </c>
      <c r="H119" s="74" t="str">
        <f ca="1">Calc!AW120</f>
        <v/>
      </c>
      <c r="I119" s="75" t="str">
        <f ca="1">Calc!AX120</f>
        <v/>
      </c>
      <c r="J119" s="76" t="str">
        <f ca="1">Calc!AY120</f>
        <v/>
      </c>
      <c r="S119">
        <f t="shared" ca="1" si="20"/>
        <v>0</v>
      </c>
      <c r="T119">
        <f t="shared" ca="1" si="21"/>
        <v>2.0110000000000232</v>
      </c>
      <c r="U119" s="200" t="s">
        <v>264</v>
      </c>
      <c r="V119">
        <f t="shared" ca="1" si="22"/>
        <v>0</v>
      </c>
      <c r="W119">
        <f t="shared" ca="1" si="23"/>
        <v>0</v>
      </c>
      <c r="X119">
        <f t="shared" ca="1" si="24"/>
        <v>0</v>
      </c>
      <c r="AB119">
        <f t="shared" si="15"/>
        <v>113</v>
      </c>
      <c r="AC119" s="189" t="str">
        <f t="shared" ca="1" si="16"/>
        <v/>
      </c>
      <c r="AD119" s="190" t="str">
        <f t="shared" ca="1" si="17"/>
        <v/>
      </c>
      <c r="AE119" s="191" t="str">
        <f t="shared" ca="1" si="13"/>
        <v/>
      </c>
      <c r="AF119" s="191" t="str">
        <f t="shared" ca="1" si="14"/>
        <v/>
      </c>
      <c r="AG119" s="191"/>
      <c r="AH119" s="192">
        <f t="shared" ca="1" si="18"/>
        <v>0</v>
      </c>
      <c r="AI119" s="233" t="str">
        <f t="shared" ca="1" si="19"/>
        <v/>
      </c>
    </row>
    <row r="120" spans="1:35" ht="15">
      <c r="A120" s="73" t="str">
        <f>IF(Calc!AM121&lt;&gt;"",Calc!AM121,"")</f>
        <v/>
      </c>
      <c r="B120" s="74">
        <f>IF(Calc!AN121&lt;&gt;"",Calc!AN121,"")</f>
        <v>0</v>
      </c>
      <c r="C120" s="74" t="str">
        <f ca="1">IF(Calc!AO121&lt;&gt;"",Calc!AO121,"")</f>
        <v/>
      </c>
      <c r="D120" s="75" t="str">
        <f ca="1">IF(Calc!AP121&lt;&gt;"",Calc!AP121,"")</f>
        <v/>
      </c>
      <c r="E120" s="77" t="str">
        <f ca="1">IF(Calc!AQ121&lt;&gt;"",Calc!AQ121,"")</f>
        <v/>
      </c>
      <c r="F120" s="79" t="str">
        <f>Calc!AU121</f>
        <v/>
      </c>
      <c r="G120" s="74">
        <f>Calc!AV121</f>
        <v>0</v>
      </c>
      <c r="H120" s="74" t="str">
        <f ca="1">Calc!AW121</f>
        <v/>
      </c>
      <c r="I120" s="75" t="str">
        <f ca="1">Calc!AX121</f>
        <v/>
      </c>
      <c r="J120" s="76" t="str">
        <f ca="1">Calc!AY121</f>
        <v/>
      </c>
      <c r="S120">
        <f t="shared" ca="1" si="20"/>
        <v>0</v>
      </c>
      <c r="T120">
        <f t="shared" ca="1" si="21"/>
        <v>2.0111000000000234</v>
      </c>
      <c r="U120" s="200" t="s">
        <v>264</v>
      </c>
      <c r="V120">
        <f t="shared" ca="1" si="22"/>
        <v>0</v>
      </c>
      <c r="W120">
        <f t="shared" ca="1" si="23"/>
        <v>0</v>
      </c>
      <c r="X120">
        <f t="shared" ca="1" si="24"/>
        <v>0</v>
      </c>
      <c r="AB120">
        <f t="shared" si="15"/>
        <v>114</v>
      </c>
      <c r="AC120" s="189" t="str">
        <f t="shared" ca="1" si="16"/>
        <v/>
      </c>
      <c r="AD120" s="190" t="str">
        <f t="shared" ca="1" si="17"/>
        <v/>
      </c>
      <c r="AE120" s="191" t="str">
        <f t="shared" ca="1" si="13"/>
        <v/>
      </c>
      <c r="AF120" s="191" t="str">
        <f t="shared" ca="1" si="14"/>
        <v/>
      </c>
      <c r="AG120" s="191"/>
      <c r="AH120" s="192">
        <f t="shared" ca="1" si="18"/>
        <v>0</v>
      </c>
      <c r="AI120" s="233" t="str">
        <f t="shared" ca="1" si="19"/>
        <v/>
      </c>
    </row>
    <row r="121" spans="1:35" ht="15">
      <c r="A121" s="73" t="str">
        <f>IF(Calc!AM122&lt;&gt;"",Calc!AM122,"")</f>
        <v/>
      </c>
      <c r="B121" s="74">
        <f>IF(Calc!AN122&lt;&gt;"",Calc!AN122,"")</f>
        <v>0</v>
      </c>
      <c r="C121" s="74" t="str">
        <f ca="1">IF(Calc!AO122&lt;&gt;"",Calc!AO122,"")</f>
        <v/>
      </c>
      <c r="D121" s="75" t="str">
        <f ca="1">IF(Calc!AP122&lt;&gt;"",Calc!AP122,"")</f>
        <v/>
      </c>
      <c r="E121" s="77" t="str">
        <f ca="1">IF(Calc!AQ122&lt;&gt;"",Calc!AQ122,"")</f>
        <v/>
      </c>
      <c r="F121" s="79" t="str">
        <f>Calc!AU122</f>
        <v/>
      </c>
      <c r="G121" s="74">
        <f>Calc!AV122</f>
        <v>0</v>
      </c>
      <c r="H121" s="74" t="str">
        <f ca="1">Calc!AW122</f>
        <v/>
      </c>
      <c r="I121" s="75" t="str">
        <f ca="1">Calc!AX122</f>
        <v/>
      </c>
      <c r="J121" s="76" t="str">
        <f ca="1">Calc!AY122</f>
        <v/>
      </c>
      <c r="S121">
        <f t="shared" ca="1" si="20"/>
        <v>0</v>
      </c>
      <c r="T121">
        <f t="shared" ca="1" si="21"/>
        <v>2.0112000000000236</v>
      </c>
      <c r="U121" s="200" t="s">
        <v>264</v>
      </c>
      <c r="V121">
        <f t="shared" ca="1" si="22"/>
        <v>0</v>
      </c>
      <c r="W121">
        <f t="shared" ca="1" si="23"/>
        <v>0</v>
      </c>
      <c r="X121">
        <f t="shared" ca="1" si="24"/>
        <v>0</v>
      </c>
      <c r="AB121">
        <f t="shared" si="15"/>
        <v>115</v>
      </c>
      <c r="AC121" s="189" t="str">
        <f t="shared" ca="1" si="16"/>
        <v/>
      </c>
      <c r="AD121" s="190" t="str">
        <f t="shared" ca="1" si="17"/>
        <v/>
      </c>
      <c r="AE121" s="191" t="str">
        <f t="shared" ca="1" si="13"/>
        <v/>
      </c>
      <c r="AF121" s="191" t="str">
        <f t="shared" ca="1" si="14"/>
        <v/>
      </c>
      <c r="AG121" s="191"/>
      <c r="AH121" s="192">
        <f t="shared" ca="1" si="18"/>
        <v>0</v>
      </c>
      <c r="AI121" s="233" t="str">
        <f t="shared" ca="1" si="19"/>
        <v/>
      </c>
    </row>
    <row r="122" spans="1:35" ht="15">
      <c r="A122" s="73" t="str">
        <f>IF(Calc!AM123&lt;&gt;"",Calc!AM123,"")</f>
        <v/>
      </c>
      <c r="B122" s="74">
        <f>IF(Calc!AN123&lt;&gt;"",Calc!AN123,"")</f>
        <v>0</v>
      </c>
      <c r="C122" s="74" t="str">
        <f ca="1">IF(Calc!AO123&lt;&gt;"",Calc!AO123,"")</f>
        <v/>
      </c>
      <c r="D122" s="75" t="str">
        <f ca="1">IF(Calc!AP123&lt;&gt;"",Calc!AP123,"")</f>
        <v/>
      </c>
      <c r="E122" s="77" t="str">
        <f ca="1">IF(Calc!AQ123&lt;&gt;"",Calc!AQ123,"")</f>
        <v/>
      </c>
      <c r="F122" s="79" t="str">
        <f>Calc!AU123</f>
        <v/>
      </c>
      <c r="G122" s="74">
        <f>Calc!AV123</f>
        <v>0</v>
      </c>
      <c r="H122" s="74" t="str">
        <f ca="1">Calc!AW123</f>
        <v/>
      </c>
      <c r="I122" s="75" t="str">
        <f ca="1">Calc!AX123</f>
        <v/>
      </c>
      <c r="J122" s="76" t="str">
        <f ca="1">Calc!AY123</f>
        <v/>
      </c>
      <c r="S122">
        <f t="shared" ca="1" si="20"/>
        <v>0</v>
      </c>
      <c r="T122">
        <f t="shared" ca="1" si="21"/>
        <v>2.0113000000000238</v>
      </c>
      <c r="U122" s="200" t="s">
        <v>264</v>
      </c>
      <c r="V122">
        <f t="shared" ca="1" si="22"/>
        <v>0</v>
      </c>
      <c r="W122">
        <f t="shared" ca="1" si="23"/>
        <v>0</v>
      </c>
      <c r="X122">
        <f t="shared" ca="1" si="24"/>
        <v>0</v>
      </c>
      <c r="AB122">
        <f t="shared" si="15"/>
        <v>116</v>
      </c>
      <c r="AC122" s="189" t="str">
        <f t="shared" ca="1" si="16"/>
        <v/>
      </c>
      <c r="AD122" s="190" t="str">
        <f t="shared" ca="1" si="17"/>
        <v/>
      </c>
      <c r="AE122" s="191" t="str">
        <f t="shared" ca="1" si="13"/>
        <v/>
      </c>
      <c r="AF122" s="191" t="str">
        <f t="shared" ca="1" si="14"/>
        <v/>
      </c>
      <c r="AG122" s="191"/>
      <c r="AH122" s="192">
        <f t="shared" ca="1" si="18"/>
        <v>0</v>
      </c>
      <c r="AI122" s="233" t="str">
        <f t="shared" ca="1" si="19"/>
        <v/>
      </c>
    </row>
    <row r="123" spans="1:35" ht="15">
      <c r="A123" s="73" t="str">
        <f>IF(Calc!AM124&lt;&gt;"",Calc!AM124,"")</f>
        <v/>
      </c>
      <c r="B123" s="74">
        <f>IF(Calc!AN124&lt;&gt;"",Calc!AN124,"")</f>
        <v>0</v>
      </c>
      <c r="C123" s="74" t="str">
        <f ca="1">IF(Calc!AO124&lt;&gt;"",Calc!AO124,"")</f>
        <v/>
      </c>
      <c r="D123" s="75" t="str">
        <f ca="1">IF(Calc!AP124&lt;&gt;"",Calc!AP124,"")</f>
        <v/>
      </c>
      <c r="E123" s="77" t="str">
        <f ca="1">IF(Calc!AQ124&lt;&gt;"",Calc!AQ124,"")</f>
        <v/>
      </c>
      <c r="F123" s="79" t="str">
        <f>Calc!AU124</f>
        <v/>
      </c>
      <c r="G123" s="74">
        <f>Calc!AV124</f>
        <v>0</v>
      </c>
      <c r="H123" s="74" t="str">
        <f ca="1">Calc!AW124</f>
        <v/>
      </c>
      <c r="I123" s="75" t="str">
        <f ca="1">Calc!AX124</f>
        <v/>
      </c>
      <c r="J123" s="76" t="str">
        <f ca="1">Calc!AY124</f>
        <v/>
      </c>
      <c r="S123">
        <f t="shared" ca="1" si="20"/>
        <v>0</v>
      </c>
      <c r="T123">
        <f t="shared" ca="1" si="21"/>
        <v>2.0114000000000241</v>
      </c>
      <c r="U123" s="200" t="s">
        <v>264</v>
      </c>
      <c r="V123">
        <f t="shared" ca="1" si="22"/>
        <v>0</v>
      </c>
      <c r="W123">
        <f t="shared" ca="1" si="23"/>
        <v>0</v>
      </c>
      <c r="X123">
        <f t="shared" ca="1" si="24"/>
        <v>0</v>
      </c>
      <c r="AB123">
        <f t="shared" si="15"/>
        <v>117</v>
      </c>
      <c r="AC123" s="189" t="str">
        <f t="shared" ca="1" si="16"/>
        <v/>
      </c>
      <c r="AD123" s="190" t="str">
        <f t="shared" ca="1" si="17"/>
        <v/>
      </c>
      <c r="AE123" s="191" t="str">
        <f t="shared" ca="1" si="13"/>
        <v/>
      </c>
      <c r="AF123" s="191" t="str">
        <f t="shared" ca="1" si="14"/>
        <v/>
      </c>
      <c r="AG123" s="191"/>
      <c r="AH123" s="192">
        <f t="shared" ca="1" si="18"/>
        <v>0</v>
      </c>
      <c r="AI123" s="233" t="str">
        <f t="shared" ca="1" si="19"/>
        <v/>
      </c>
    </row>
    <row r="124" spans="1:35" ht="15">
      <c r="A124" s="73" t="str">
        <f>IF(Calc!AM125&lt;&gt;"",Calc!AM125,"")</f>
        <v/>
      </c>
      <c r="B124" s="74">
        <f>IF(Calc!AN125&lt;&gt;"",Calc!AN125,"")</f>
        <v>0</v>
      </c>
      <c r="C124" s="74" t="str">
        <f ca="1">IF(Calc!AO125&lt;&gt;"",Calc!AO125,"")</f>
        <v/>
      </c>
      <c r="D124" s="75" t="str">
        <f ca="1">IF(Calc!AP125&lt;&gt;"",Calc!AP125,"")</f>
        <v/>
      </c>
      <c r="E124" s="77" t="str">
        <f ca="1">IF(Calc!AQ125&lt;&gt;"",Calc!AQ125,"")</f>
        <v/>
      </c>
      <c r="F124" s="79" t="str">
        <f>Calc!AU125</f>
        <v/>
      </c>
      <c r="G124" s="74">
        <f>Calc!AV125</f>
        <v>0</v>
      </c>
      <c r="H124" s="74" t="str">
        <f ca="1">Calc!AW125</f>
        <v/>
      </c>
      <c r="I124" s="75" t="str">
        <f ca="1">Calc!AX125</f>
        <v/>
      </c>
      <c r="J124" s="76" t="str">
        <f ca="1">Calc!AY125</f>
        <v/>
      </c>
      <c r="S124">
        <f t="shared" ca="1" si="20"/>
        <v>0</v>
      </c>
      <c r="T124">
        <f t="shared" ca="1" si="21"/>
        <v>2.0115000000000243</v>
      </c>
      <c r="U124" s="200" t="s">
        <v>264</v>
      </c>
      <c r="V124">
        <f t="shared" ca="1" si="22"/>
        <v>0</v>
      </c>
      <c r="W124">
        <f t="shared" ca="1" si="23"/>
        <v>0</v>
      </c>
      <c r="X124">
        <f t="shared" ca="1" si="24"/>
        <v>0</v>
      </c>
      <c r="AB124">
        <f t="shared" si="15"/>
        <v>118</v>
      </c>
      <c r="AC124" s="189" t="str">
        <f t="shared" ca="1" si="16"/>
        <v/>
      </c>
      <c r="AD124" s="190" t="str">
        <f t="shared" ca="1" si="17"/>
        <v/>
      </c>
      <c r="AE124" s="191" t="str">
        <f t="shared" ca="1" si="13"/>
        <v/>
      </c>
      <c r="AF124" s="191" t="str">
        <f t="shared" ca="1" si="14"/>
        <v/>
      </c>
      <c r="AG124" s="191"/>
      <c r="AH124" s="192">
        <f t="shared" ca="1" si="18"/>
        <v>0</v>
      </c>
      <c r="AI124" s="233" t="str">
        <f t="shared" ca="1" si="19"/>
        <v/>
      </c>
    </row>
    <row r="125" spans="1:35" ht="15">
      <c r="A125" s="73" t="str">
        <f>IF(Calc!AM126&lt;&gt;"",Calc!AM126,"")</f>
        <v/>
      </c>
      <c r="B125" s="74">
        <f>IF(Calc!AN126&lt;&gt;"",Calc!AN126,"")</f>
        <v>0</v>
      </c>
      <c r="C125" s="74" t="str">
        <f ca="1">IF(Calc!AO126&lt;&gt;"",Calc!AO126,"")</f>
        <v/>
      </c>
      <c r="D125" s="75" t="str">
        <f ca="1">IF(Calc!AP126&lt;&gt;"",Calc!AP126,"")</f>
        <v/>
      </c>
      <c r="E125" s="77" t="str">
        <f ca="1">IF(Calc!AQ126&lt;&gt;"",Calc!AQ126,"")</f>
        <v/>
      </c>
      <c r="F125" s="79" t="str">
        <f>Calc!AU126</f>
        <v/>
      </c>
      <c r="G125" s="74">
        <f>Calc!AV126</f>
        <v>0</v>
      </c>
      <c r="H125" s="74" t="str">
        <f ca="1">Calc!AW126</f>
        <v/>
      </c>
      <c r="I125" s="75" t="str">
        <f ca="1">Calc!AX126</f>
        <v/>
      </c>
      <c r="J125" s="76" t="str">
        <f ca="1">Calc!AY126</f>
        <v/>
      </c>
      <c r="S125">
        <f t="shared" ca="1" si="20"/>
        <v>0</v>
      </c>
      <c r="T125">
        <f t="shared" ca="1" si="21"/>
        <v>2.0116000000000245</v>
      </c>
      <c r="U125" s="200" t="s">
        <v>264</v>
      </c>
      <c r="V125">
        <f t="shared" ca="1" si="22"/>
        <v>0</v>
      </c>
      <c r="W125">
        <f t="shared" ca="1" si="23"/>
        <v>0</v>
      </c>
      <c r="X125">
        <f t="shared" ca="1" si="24"/>
        <v>0</v>
      </c>
      <c r="AB125">
        <f t="shared" si="15"/>
        <v>119</v>
      </c>
      <c r="AC125" s="189" t="str">
        <f t="shared" ca="1" si="16"/>
        <v/>
      </c>
      <c r="AD125" s="190" t="str">
        <f t="shared" ca="1" si="17"/>
        <v/>
      </c>
      <c r="AE125" s="191" t="str">
        <f t="shared" ca="1" si="13"/>
        <v/>
      </c>
      <c r="AF125" s="191" t="str">
        <f t="shared" ca="1" si="14"/>
        <v/>
      </c>
      <c r="AG125" s="191"/>
      <c r="AH125" s="192">
        <f t="shared" ca="1" si="18"/>
        <v>0</v>
      </c>
      <c r="AI125" s="233" t="str">
        <f t="shared" ca="1" si="19"/>
        <v/>
      </c>
    </row>
    <row r="126" spans="1:35" ht="15">
      <c r="A126" s="73" t="str">
        <f>IF(Calc!AM127&lt;&gt;"",Calc!AM127,"")</f>
        <v/>
      </c>
      <c r="B126" s="74">
        <f>IF(Calc!AN127&lt;&gt;"",Calc!AN127,"")</f>
        <v>0</v>
      </c>
      <c r="C126" s="74" t="str">
        <f ca="1">IF(Calc!AO127&lt;&gt;"",Calc!AO127,"")</f>
        <v/>
      </c>
      <c r="D126" s="75" t="str">
        <f ca="1">IF(Calc!AP127&lt;&gt;"",Calc!AP127,"")</f>
        <v/>
      </c>
      <c r="E126" s="77" t="str">
        <f ca="1">IF(Calc!AQ127&lt;&gt;"",Calc!AQ127,"")</f>
        <v/>
      </c>
      <c r="F126" s="79" t="str">
        <f>Calc!AU127</f>
        <v/>
      </c>
      <c r="G126" s="74">
        <f>Calc!AV127</f>
        <v>0</v>
      </c>
      <c r="H126" s="74" t="str">
        <f ca="1">Calc!AW127</f>
        <v/>
      </c>
      <c r="I126" s="75" t="str">
        <f ca="1">Calc!AX127</f>
        <v/>
      </c>
      <c r="J126" s="76" t="str">
        <f ca="1">Calc!AY127</f>
        <v/>
      </c>
      <c r="S126">
        <f t="shared" ca="1" si="20"/>
        <v>0</v>
      </c>
      <c r="T126">
        <f t="shared" ca="1" si="21"/>
        <v>2.0117000000000247</v>
      </c>
      <c r="U126" s="200" t="s">
        <v>264</v>
      </c>
      <c r="V126">
        <f t="shared" ca="1" si="22"/>
        <v>0</v>
      </c>
      <c r="W126">
        <f t="shared" ca="1" si="23"/>
        <v>0</v>
      </c>
      <c r="X126">
        <f t="shared" ca="1" si="24"/>
        <v>0</v>
      </c>
      <c r="AB126">
        <f t="shared" si="15"/>
        <v>120</v>
      </c>
      <c r="AC126" s="189" t="str">
        <f t="shared" ca="1" si="16"/>
        <v/>
      </c>
      <c r="AD126" s="190" t="str">
        <f t="shared" ca="1" si="17"/>
        <v/>
      </c>
      <c r="AE126" s="191" t="str">
        <f t="shared" ca="1" si="13"/>
        <v/>
      </c>
      <c r="AF126" s="191" t="str">
        <f t="shared" ca="1" si="14"/>
        <v/>
      </c>
      <c r="AG126" s="191"/>
      <c r="AH126" s="192">
        <f t="shared" ca="1" si="18"/>
        <v>0</v>
      </c>
      <c r="AI126" s="233" t="str">
        <f t="shared" ca="1" si="19"/>
        <v/>
      </c>
    </row>
    <row r="127" spans="1:35" ht="15">
      <c r="A127" s="73" t="str">
        <f>IF(Calc!AM128&lt;&gt;"",Calc!AM128,"")</f>
        <v/>
      </c>
      <c r="B127" s="74">
        <f>IF(Calc!AN128&lt;&gt;"",Calc!AN128,"")</f>
        <v>0</v>
      </c>
      <c r="C127" s="74" t="str">
        <f ca="1">IF(Calc!AO128&lt;&gt;"",Calc!AO128,"")</f>
        <v/>
      </c>
      <c r="D127" s="75" t="str">
        <f ca="1">IF(Calc!AP128&lt;&gt;"",Calc!AP128,"")</f>
        <v/>
      </c>
      <c r="E127" s="77" t="str">
        <f ca="1">IF(Calc!AQ128&lt;&gt;"",Calc!AQ128,"")</f>
        <v/>
      </c>
      <c r="F127" s="79" t="str">
        <f>Calc!AU128</f>
        <v/>
      </c>
      <c r="G127" s="74">
        <f>Calc!AV128</f>
        <v>0</v>
      </c>
      <c r="H127" s="74" t="str">
        <f ca="1">Calc!AW128</f>
        <v/>
      </c>
      <c r="I127" s="75" t="str">
        <f ca="1">Calc!AX128</f>
        <v/>
      </c>
      <c r="J127" s="76" t="str">
        <f ca="1">Calc!AY128</f>
        <v/>
      </c>
      <c r="S127">
        <f t="shared" ca="1" si="20"/>
        <v>0</v>
      </c>
      <c r="T127">
        <f t="shared" ca="1" si="21"/>
        <v>2.0118000000000249</v>
      </c>
      <c r="U127" s="200" t="s">
        <v>264</v>
      </c>
      <c r="V127">
        <f t="shared" ca="1" si="22"/>
        <v>0</v>
      </c>
      <c r="W127">
        <f t="shared" ca="1" si="23"/>
        <v>0</v>
      </c>
      <c r="X127">
        <f t="shared" ca="1" si="24"/>
        <v>0</v>
      </c>
      <c r="AB127">
        <f t="shared" si="15"/>
        <v>121</v>
      </c>
      <c r="AC127" s="189" t="str">
        <f t="shared" ca="1" si="16"/>
        <v/>
      </c>
      <c r="AD127" s="190" t="str">
        <f t="shared" ca="1" si="17"/>
        <v/>
      </c>
      <c r="AE127" s="191" t="str">
        <f t="shared" ca="1" si="13"/>
        <v/>
      </c>
      <c r="AF127" s="191" t="str">
        <f t="shared" ca="1" si="14"/>
        <v/>
      </c>
      <c r="AG127" s="191"/>
      <c r="AH127" s="192">
        <f t="shared" ca="1" si="18"/>
        <v>0</v>
      </c>
      <c r="AI127" s="233" t="str">
        <f t="shared" ca="1" si="19"/>
        <v/>
      </c>
    </row>
    <row r="128" spans="1:35" ht="15">
      <c r="A128" s="73" t="str">
        <f>IF(Calc!AM129&lt;&gt;"",Calc!AM129,"")</f>
        <v/>
      </c>
      <c r="B128" s="74">
        <f>IF(Calc!AN129&lt;&gt;"",Calc!AN129,"")</f>
        <v>0</v>
      </c>
      <c r="C128" s="74" t="str">
        <f ca="1">IF(Calc!AO129&lt;&gt;"",Calc!AO129,"")</f>
        <v/>
      </c>
      <c r="D128" s="75" t="str">
        <f ca="1">IF(Calc!AP129&lt;&gt;"",Calc!AP129,"")</f>
        <v/>
      </c>
      <c r="E128" s="77" t="str">
        <f ca="1">IF(Calc!AQ129&lt;&gt;"",Calc!AQ129,"")</f>
        <v/>
      </c>
      <c r="F128" s="79" t="str">
        <f>Calc!AU129</f>
        <v/>
      </c>
      <c r="G128" s="74">
        <f>Calc!AV129</f>
        <v>0</v>
      </c>
      <c r="H128" s="74" t="str">
        <f ca="1">Calc!AW129</f>
        <v/>
      </c>
      <c r="I128" s="75" t="str">
        <f ca="1">Calc!AX129</f>
        <v/>
      </c>
      <c r="J128" s="76" t="str">
        <f ca="1">Calc!AY129</f>
        <v/>
      </c>
      <c r="S128">
        <f t="shared" ca="1" si="20"/>
        <v>0</v>
      </c>
      <c r="T128">
        <f t="shared" ca="1" si="21"/>
        <v>2.0119000000000251</v>
      </c>
      <c r="U128" s="200" t="s">
        <v>264</v>
      </c>
      <c r="V128">
        <f t="shared" ca="1" si="22"/>
        <v>0</v>
      </c>
      <c r="W128">
        <f t="shared" ca="1" si="23"/>
        <v>0</v>
      </c>
      <c r="X128">
        <f t="shared" ca="1" si="24"/>
        <v>0</v>
      </c>
      <c r="AB128">
        <f t="shared" si="15"/>
        <v>122</v>
      </c>
      <c r="AC128" s="189" t="str">
        <f t="shared" ca="1" si="16"/>
        <v/>
      </c>
      <c r="AD128" s="190" t="str">
        <f t="shared" ca="1" si="17"/>
        <v/>
      </c>
      <c r="AE128" s="191" t="str">
        <f t="shared" ca="1" si="13"/>
        <v/>
      </c>
      <c r="AF128" s="191" t="str">
        <f t="shared" ca="1" si="14"/>
        <v/>
      </c>
      <c r="AG128" s="191"/>
      <c r="AH128" s="192">
        <f t="shared" ca="1" si="18"/>
        <v>0</v>
      </c>
      <c r="AI128" s="233" t="str">
        <f t="shared" ca="1" si="19"/>
        <v/>
      </c>
    </row>
    <row r="129" spans="1:35" ht="15">
      <c r="A129" s="73" t="str">
        <f>IF(Calc!AM130&lt;&gt;"",Calc!AM130,"")</f>
        <v/>
      </c>
      <c r="B129" s="74">
        <f>IF(Calc!AN130&lt;&gt;"",Calc!AN130,"")</f>
        <v>0</v>
      </c>
      <c r="C129" s="74" t="str">
        <f ca="1">IF(Calc!AO130&lt;&gt;"",Calc!AO130,"")</f>
        <v/>
      </c>
      <c r="D129" s="75" t="str">
        <f ca="1">IF(Calc!AP130&lt;&gt;"",Calc!AP130,"")</f>
        <v/>
      </c>
      <c r="E129" s="77" t="str">
        <f ca="1">IF(Calc!AQ130&lt;&gt;"",Calc!AQ130,"")</f>
        <v/>
      </c>
      <c r="F129" s="79" t="str">
        <f>Calc!AU130</f>
        <v/>
      </c>
      <c r="G129" s="74">
        <f>Calc!AV130</f>
        <v>0</v>
      </c>
      <c r="H129" s="74" t="str">
        <f ca="1">Calc!AW130</f>
        <v/>
      </c>
      <c r="I129" s="75" t="str">
        <f ca="1">Calc!AX130</f>
        <v/>
      </c>
      <c r="J129" s="76" t="str">
        <f ca="1">Calc!AY130</f>
        <v/>
      </c>
      <c r="S129">
        <f t="shared" ca="1" si="20"/>
        <v>0</v>
      </c>
      <c r="T129">
        <f t="shared" ca="1" si="21"/>
        <v>2.0120000000000253</v>
      </c>
      <c r="U129" s="200" t="s">
        <v>264</v>
      </c>
      <c r="V129">
        <f t="shared" ca="1" si="22"/>
        <v>0</v>
      </c>
      <c r="W129">
        <f t="shared" ca="1" si="23"/>
        <v>0</v>
      </c>
      <c r="X129">
        <f t="shared" ca="1" si="24"/>
        <v>0</v>
      </c>
      <c r="AB129">
        <f t="shared" si="15"/>
        <v>123</v>
      </c>
      <c r="AC129" s="189" t="str">
        <f t="shared" ca="1" si="16"/>
        <v/>
      </c>
      <c r="AD129" s="190" t="str">
        <f t="shared" ca="1" si="17"/>
        <v/>
      </c>
      <c r="AE129" s="191" t="str">
        <f t="shared" ca="1" si="13"/>
        <v/>
      </c>
      <c r="AF129" s="191" t="str">
        <f t="shared" ca="1" si="14"/>
        <v/>
      </c>
      <c r="AG129" s="191"/>
      <c r="AH129" s="192">
        <f t="shared" ca="1" si="18"/>
        <v>0</v>
      </c>
      <c r="AI129" s="233" t="str">
        <f t="shared" ca="1" si="19"/>
        <v/>
      </c>
    </row>
    <row r="130" spans="1:35" ht="15">
      <c r="A130" s="73" t="str">
        <f>IF(Calc!AM131&lt;&gt;"",Calc!AM131,"")</f>
        <v/>
      </c>
      <c r="B130" s="74">
        <f>IF(Calc!AN131&lt;&gt;"",Calc!AN131,"")</f>
        <v>0</v>
      </c>
      <c r="C130" s="74" t="str">
        <f ca="1">IF(Calc!AO131&lt;&gt;"",Calc!AO131,"")</f>
        <v/>
      </c>
      <c r="D130" s="75" t="str">
        <f ca="1">IF(Calc!AP131&lt;&gt;"",Calc!AP131,"")</f>
        <v/>
      </c>
      <c r="E130" s="77" t="str">
        <f ca="1">IF(Calc!AQ131&lt;&gt;"",Calc!AQ131,"")</f>
        <v/>
      </c>
      <c r="F130" s="79" t="str">
        <f>Calc!AU131</f>
        <v/>
      </c>
      <c r="G130" s="74">
        <f>Calc!AV131</f>
        <v>0</v>
      </c>
      <c r="H130" s="74" t="str">
        <f ca="1">Calc!AW131</f>
        <v/>
      </c>
      <c r="I130" s="75" t="str">
        <f ca="1">Calc!AX131</f>
        <v/>
      </c>
      <c r="J130" s="76" t="str">
        <f ca="1">Calc!AY131</f>
        <v/>
      </c>
      <c r="S130">
        <f t="shared" ca="1" si="20"/>
        <v>0</v>
      </c>
      <c r="T130">
        <f t="shared" ca="1" si="21"/>
        <v>2.0121000000000255</v>
      </c>
      <c r="U130" s="200" t="s">
        <v>264</v>
      </c>
      <c r="V130">
        <f t="shared" ca="1" si="22"/>
        <v>0</v>
      </c>
      <c r="W130">
        <f t="shared" ca="1" si="23"/>
        <v>0</v>
      </c>
      <c r="X130">
        <f t="shared" ca="1" si="24"/>
        <v>0</v>
      </c>
      <c r="AB130">
        <f t="shared" si="15"/>
        <v>124</v>
      </c>
      <c r="AC130" s="189" t="str">
        <f t="shared" ca="1" si="16"/>
        <v/>
      </c>
      <c r="AD130" s="190" t="str">
        <f t="shared" ca="1" si="17"/>
        <v/>
      </c>
      <c r="AE130" s="191" t="str">
        <f t="shared" ca="1" si="13"/>
        <v/>
      </c>
      <c r="AF130" s="191" t="str">
        <f t="shared" ca="1" si="14"/>
        <v/>
      </c>
      <c r="AG130" s="191"/>
      <c r="AH130" s="192">
        <f t="shared" ca="1" si="18"/>
        <v>0</v>
      </c>
      <c r="AI130" s="233" t="str">
        <f t="shared" ca="1" si="19"/>
        <v/>
      </c>
    </row>
    <row r="131" spans="1:35" ht="15">
      <c r="A131" s="73" t="str">
        <f>IF(Calc!AM132&lt;&gt;"",Calc!AM132,"")</f>
        <v/>
      </c>
      <c r="B131" s="74">
        <f>IF(Calc!AN132&lt;&gt;"",Calc!AN132,"")</f>
        <v>0</v>
      </c>
      <c r="C131" s="74" t="str">
        <f ca="1">IF(Calc!AO132&lt;&gt;"",Calc!AO132,"")</f>
        <v/>
      </c>
      <c r="D131" s="75" t="str">
        <f ca="1">IF(Calc!AP132&lt;&gt;"",Calc!AP132,"")</f>
        <v/>
      </c>
      <c r="E131" s="77" t="str">
        <f ca="1">IF(Calc!AQ132&lt;&gt;"",Calc!AQ132,"")</f>
        <v/>
      </c>
      <c r="F131" s="79" t="str">
        <f>Calc!AU132</f>
        <v/>
      </c>
      <c r="G131" s="74">
        <f>Calc!AV132</f>
        <v>0</v>
      </c>
      <c r="H131" s="74" t="str">
        <f ca="1">Calc!AW132</f>
        <v/>
      </c>
      <c r="I131" s="75" t="str">
        <f ca="1">Calc!AX132</f>
        <v/>
      </c>
      <c r="J131" s="76" t="str">
        <f ca="1">Calc!AY132</f>
        <v/>
      </c>
      <c r="S131">
        <f t="shared" ca="1" si="20"/>
        <v>0</v>
      </c>
      <c r="T131">
        <f t="shared" ca="1" si="21"/>
        <v>2.0122000000000257</v>
      </c>
      <c r="U131" s="200" t="s">
        <v>264</v>
      </c>
      <c r="V131">
        <f t="shared" ca="1" si="22"/>
        <v>0</v>
      </c>
      <c r="W131">
        <f t="shared" ca="1" si="23"/>
        <v>0</v>
      </c>
      <c r="X131">
        <f t="shared" ca="1" si="24"/>
        <v>0</v>
      </c>
      <c r="AB131">
        <f t="shared" si="15"/>
        <v>125</v>
      </c>
      <c r="AC131" s="189" t="str">
        <f t="shared" ca="1" si="16"/>
        <v/>
      </c>
      <c r="AD131" s="190" t="str">
        <f t="shared" ca="1" si="17"/>
        <v/>
      </c>
      <c r="AE131" s="191" t="str">
        <f t="shared" ca="1" si="13"/>
        <v/>
      </c>
      <c r="AF131" s="191" t="str">
        <f t="shared" ca="1" si="14"/>
        <v/>
      </c>
      <c r="AG131" s="191"/>
      <c r="AH131" s="192">
        <f t="shared" ca="1" si="18"/>
        <v>0</v>
      </c>
      <c r="AI131" s="233" t="str">
        <f t="shared" ca="1" si="19"/>
        <v/>
      </c>
    </row>
    <row r="132" spans="1:35" ht="15">
      <c r="A132" s="73" t="str">
        <f>IF(Calc!AM133&lt;&gt;"",Calc!AM133,"")</f>
        <v/>
      </c>
      <c r="B132" s="74">
        <f>IF(Calc!AN133&lt;&gt;"",Calc!AN133,"")</f>
        <v>0</v>
      </c>
      <c r="C132" s="74" t="str">
        <f ca="1">IF(Calc!AO133&lt;&gt;"",Calc!AO133,"")</f>
        <v/>
      </c>
      <c r="D132" s="75" t="str">
        <f ca="1">IF(Calc!AP133&lt;&gt;"",Calc!AP133,"")</f>
        <v/>
      </c>
      <c r="E132" s="77" t="str">
        <f ca="1">IF(Calc!AQ133&lt;&gt;"",Calc!AQ133,"")</f>
        <v/>
      </c>
      <c r="F132" s="79" t="str">
        <f>Calc!AU133</f>
        <v/>
      </c>
      <c r="G132" s="74">
        <f>Calc!AV133</f>
        <v>0</v>
      </c>
      <c r="H132" s="74" t="str">
        <f ca="1">Calc!AW133</f>
        <v/>
      </c>
      <c r="I132" s="75" t="str">
        <f ca="1">Calc!AX133</f>
        <v/>
      </c>
      <c r="J132" s="76" t="str">
        <f ca="1">Calc!AY133</f>
        <v/>
      </c>
      <c r="S132">
        <f t="shared" ca="1" si="20"/>
        <v>0</v>
      </c>
      <c r="T132">
        <f t="shared" ca="1" si="21"/>
        <v>2.012300000000026</v>
      </c>
      <c r="U132" s="200" t="s">
        <v>264</v>
      </c>
      <c r="V132">
        <f t="shared" ca="1" si="22"/>
        <v>0</v>
      </c>
      <c r="W132">
        <f t="shared" ca="1" si="23"/>
        <v>0</v>
      </c>
      <c r="X132">
        <f t="shared" ca="1" si="24"/>
        <v>0</v>
      </c>
      <c r="AB132">
        <f t="shared" si="15"/>
        <v>126</v>
      </c>
      <c r="AC132" s="189" t="str">
        <f t="shared" ca="1" si="16"/>
        <v/>
      </c>
      <c r="AD132" s="190" t="str">
        <f t="shared" ca="1" si="17"/>
        <v/>
      </c>
      <c r="AE132" s="191" t="str">
        <f t="shared" ca="1" si="13"/>
        <v/>
      </c>
      <c r="AF132" s="191" t="str">
        <f t="shared" ca="1" si="14"/>
        <v/>
      </c>
      <c r="AG132" s="191"/>
      <c r="AH132" s="192">
        <f t="shared" ca="1" si="18"/>
        <v>0</v>
      </c>
      <c r="AI132" s="233" t="str">
        <f t="shared" ca="1" si="19"/>
        <v/>
      </c>
    </row>
    <row r="133" spans="1:35" ht="15">
      <c r="A133" s="73" t="str">
        <f>IF(Calc!AM134&lt;&gt;"",Calc!AM134,"")</f>
        <v/>
      </c>
      <c r="B133" s="74">
        <f>IF(Calc!AN134&lt;&gt;"",Calc!AN134,"")</f>
        <v>0</v>
      </c>
      <c r="C133" s="74" t="str">
        <f ca="1">IF(Calc!AO134&lt;&gt;"",Calc!AO134,"")</f>
        <v/>
      </c>
      <c r="D133" s="75" t="str">
        <f ca="1">IF(Calc!AP134&lt;&gt;"",Calc!AP134,"")</f>
        <v/>
      </c>
      <c r="E133" s="77" t="str">
        <f ca="1">IF(Calc!AQ134&lt;&gt;"",Calc!AQ134,"")</f>
        <v/>
      </c>
      <c r="F133" s="79" t="str">
        <f>Calc!AU134</f>
        <v/>
      </c>
      <c r="G133" s="74">
        <f>Calc!AV134</f>
        <v>0</v>
      </c>
      <c r="H133" s="74" t="str">
        <f ca="1">Calc!AW134</f>
        <v/>
      </c>
      <c r="I133" s="75" t="str">
        <f ca="1">Calc!AX134</f>
        <v/>
      </c>
      <c r="J133" s="76" t="str">
        <f ca="1">Calc!AY134</f>
        <v/>
      </c>
      <c r="S133">
        <f t="shared" ca="1" si="20"/>
        <v>0</v>
      </c>
      <c r="T133">
        <f t="shared" ca="1" si="21"/>
        <v>2.0124000000000262</v>
      </c>
      <c r="U133" s="200" t="s">
        <v>264</v>
      </c>
      <c r="V133">
        <f t="shared" ca="1" si="22"/>
        <v>0</v>
      </c>
      <c r="W133">
        <f t="shared" ca="1" si="23"/>
        <v>0</v>
      </c>
      <c r="X133">
        <f t="shared" ca="1" si="24"/>
        <v>0</v>
      </c>
      <c r="AB133">
        <f t="shared" si="15"/>
        <v>127</v>
      </c>
      <c r="AC133" s="189" t="str">
        <f t="shared" ca="1" si="16"/>
        <v/>
      </c>
      <c r="AD133" s="190" t="str">
        <f t="shared" ca="1" si="17"/>
        <v/>
      </c>
      <c r="AE133" s="191" t="str">
        <f t="shared" ca="1" si="13"/>
        <v/>
      </c>
      <c r="AF133" s="191" t="str">
        <f t="shared" ca="1" si="14"/>
        <v/>
      </c>
      <c r="AG133" s="191"/>
      <c r="AH133" s="192">
        <f t="shared" ca="1" si="18"/>
        <v>0</v>
      </c>
      <c r="AI133" s="233" t="str">
        <f t="shared" ca="1" si="19"/>
        <v/>
      </c>
    </row>
    <row r="134" spans="1:35" ht="15">
      <c r="A134" s="73" t="str">
        <f>IF(Calc!AM135&lt;&gt;"",Calc!AM135,"")</f>
        <v/>
      </c>
      <c r="B134" s="74">
        <f>IF(Calc!AN135&lt;&gt;"",Calc!AN135,"")</f>
        <v>0</v>
      </c>
      <c r="C134" s="74" t="str">
        <f ca="1">IF(Calc!AO135&lt;&gt;"",Calc!AO135,"")</f>
        <v/>
      </c>
      <c r="D134" s="75" t="str">
        <f ca="1">IF(Calc!AP135&lt;&gt;"",Calc!AP135,"")</f>
        <v/>
      </c>
      <c r="E134" s="77" t="str">
        <f ca="1">IF(Calc!AQ135&lt;&gt;"",Calc!AQ135,"")</f>
        <v/>
      </c>
      <c r="F134" s="79" t="str">
        <f>Calc!AU135</f>
        <v/>
      </c>
      <c r="G134" s="74">
        <f>Calc!AV135</f>
        <v>0</v>
      </c>
      <c r="H134" s="74" t="str">
        <f ca="1">Calc!AW135</f>
        <v/>
      </c>
      <c r="I134" s="75" t="str">
        <f ca="1">Calc!AX135</f>
        <v/>
      </c>
      <c r="J134" s="76" t="str">
        <f ca="1">Calc!AY135</f>
        <v/>
      </c>
      <c r="S134">
        <f t="shared" ca="1" si="20"/>
        <v>0</v>
      </c>
      <c r="T134">
        <f t="shared" ca="1" si="21"/>
        <v>2.0125000000000264</v>
      </c>
      <c r="U134" s="200" t="s">
        <v>264</v>
      </c>
      <c r="V134">
        <f t="shared" ca="1" si="22"/>
        <v>0</v>
      </c>
      <c r="W134">
        <f t="shared" ca="1" si="23"/>
        <v>0</v>
      </c>
      <c r="X134">
        <f t="shared" ca="1" si="24"/>
        <v>0</v>
      </c>
      <c r="AB134">
        <f t="shared" si="15"/>
        <v>128</v>
      </c>
      <c r="AC134" s="189" t="str">
        <f t="shared" ca="1" si="16"/>
        <v/>
      </c>
      <c r="AD134" s="190" t="str">
        <f t="shared" ca="1" si="17"/>
        <v/>
      </c>
      <c r="AE134" s="191" t="str">
        <f t="shared" ca="1" si="13"/>
        <v/>
      </c>
      <c r="AF134" s="191" t="str">
        <f t="shared" ca="1" si="14"/>
        <v/>
      </c>
      <c r="AG134" s="191"/>
      <c r="AH134" s="192">
        <f t="shared" ca="1" si="18"/>
        <v>0</v>
      </c>
      <c r="AI134" s="233" t="str">
        <f t="shared" ca="1" si="19"/>
        <v/>
      </c>
    </row>
    <row r="135" spans="1:35" ht="15">
      <c r="A135" s="73" t="str">
        <f>IF(Calc!AM136&lt;&gt;"",Calc!AM136,"")</f>
        <v/>
      </c>
      <c r="B135" s="74">
        <f>IF(Calc!AN136&lt;&gt;"",Calc!AN136,"")</f>
        <v>0</v>
      </c>
      <c r="C135" s="74" t="str">
        <f ca="1">IF(Calc!AO136&lt;&gt;"",Calc!AO136,"")</f>
        <v/>
      </c>
      <c r="D135" s="75" t="str">
        <f ca="1">IF(Calc!AP136&lt;&gt;"",Calc!AP136,"")</f>
        <v/>
      </c>
      <c r="E135" s="77" t="str">
        <f ca="1">IF(Calc!AQ136&lt;&gt;"",Calc!AQ136,"")</f>
        <v/>
      </c>
      <c r="F135" s="79" t="str">
        <f>Calc!AU136</f>
        <v/>
      </c>
      <c r="G135" s="74">
        <f>Calc!AV136</f>
        <v>0</v>
      </c>
      <c r="H135" s="74" t="str">
        <f ca="1">Calc!AW136</f>
        <v/>
      </c>
      <c r="I135" s="75" t="str">
        <f ca="1">Calc!AX136</f>
        <v/>
      </c>
      <c r="J135" s="76" t="str">
        <f ca="1">Calc!AY136</f>
        <v/>
      </c>
      <c r="S135">
        <f t="shared" ca="1" si="20"/>
        <v>0</v>
      </c>
      <c r="T135">
        <f t="shared" ca="1" si="21"/>
        <v>2.0126000000000266</v>
      </c>
      <c r="U135" s="200" t="s">
        <v>264</v>
      </c>
      <c r="V135">
        <f t="shared" ca="1" si="22"/>
        <v>0</v>
      </c>
      <c r="W135">
        <f t="shared" ca="1" si="23"/>
        <v>0</v>
      </c>
      <c r="X135">
        <f t="shared" ca="1" si="24"/>
        <v>0</v>
      </c>
      <c r="AB135">
        <f t="shared" si="15"/>
        <v>129</v>
      </c>
      <c r="AC135" s="189" t="str">
        <f t="shared" ca="1" si="16"/>
        <v/>
      </c>
      <c r="AD135" s="190" t="str">
        <f t="shared" ca="1" si="17"/>
        <v/>
      </c>
      <c r="AE135" s="191" t="str">
        <f t="shared" ref="AE135:AE198" ca="1" si="25">IF(AB135&gt;$U$4,"",IF(VLOOKUP(AB135,$T$6:$U$325,2)="a",VLOOKUP(AB135,$T$6:$V$325,3),$AE$2))</f>
        <v/>
      </c>
      <c r="AF135" s="191" t="str">
        <f t="shared" ref="AF135:AF198" ca="1" si="26">IF(AB135&gt;$U$4,"",IF(VLOOKUP(AB135,$T$6:$U$325,2)="p",VLOOKUP(AB135,$T$6:$V$325,3),$AE$2))</f>
        <v/>
      </c>
      <c r="AG135" s="191"/>
      <c r="AH135" s="192">
        <f t="shared" ca="1" si="18"/>
        <v>0</v>
      </c>
      <c r="AI135" s="233" t="str">
        <f t="shared" ca="1" si="19"/>
        <v/>
      </c>
    </row>
    <row r="136" spans="1:35" ht="15">
      <c r="A136" s="73" t="str">
        <f>IF(Calc!AM137&lt;&gt;"",Calc!AM137,"")</f>
        <v/>
      </c>
      <c r="B136" s="74">
        <f>IF(Calc!AN137&lt;&gt;"",Calc!AN137,"")</f>
        <v>0</v>
      </c>
      <c r="C136" s="74" t="str">
        <f ca="1">IF(Calc!AO137&lt;&gt;"",Calc!AO137,"")</f>
        <v/>
      </c>
      <c r="D136" s="75" t="str">
        <f ca="1">IF(Calc!AP137&lt;&gt;"",Calc!AP137,"")</f>
        <v/>
      </c>
      <c r="E136" s="77" t="str">
        <f ca="1">IF(Calc!AQ137&lt;&gt;"",Calc!AQ137,"")</f>
        <v/>
      </c>
      <c r="F136" s="79" t="str">
        <f>Calc!AU137</f>
        <v/>
      </c>
      <c r="G136" s="74">
        <f>Calc!AV137</f>
        <v>0</v>
      </c>
      <c r="H136" s="74" t="str">
        <f ca="1">Calc!AW137</f>
        <v/>
      </c>
      <c r="I136" s="75" t="str">
        <f ca="1">Calc!AX137</f>
        <v/>
      </c>
      <c r="J136" s="76" t="str">
        <f ca="1">Calc!AY137</f>
        <v/>
      </c>
      <c r="S136">
        <f t="shared" ca="1" si="20"/>
        <v>0</v>
      </c>
      <c r="T136">
        <f t="shared" ca="1" si="21"/>
        <v>2.0127000000000268</v>
      </c>
      <c r="U136" s="200" t="s">
        <v>264</v>
      </c>
      <c r="V136">
        <f t="shared" ca="1" si="22"/>
        <v>0</v>
      </c>
      <c r="W136">
        <f t="shared" ca="1" si="23"/>
        <v>0</v>
      </c>
      <c r="X136">
        <f t="shared" ca="1" si="24"/>
        <v>0</v>
      </c>
      <c r="AB136">
        <f t="shared" ref="AB136:AB199" si="27">AB135+1</f>
        <v>130</v>
      </c>
      <c r="AC136" s="189" t="str">
        <f t="shared" ref="AC136:AC178" ca="1" si="28">IF(AB136&gt;$U$4,"",AC135)</f>
        <v/>
      </c>
      <c r="AD136" s="190" t="str">
        <f t="shared" ref="AD136:AD178" ca="1" si="29">IF(AB136&gt;$U$4,"",AD135)</f>
        <v/>
      </c>
      <c r="AE136" s="191" t="str">
        <f t="shared" ca="1" si="25"/>
        <v/>
      </c>
      <c r="AF136" s="191" t="str">
        <f t="shared" ca="1" si="26"/>
        <v/>
      </c>
      <c r="AG136" s="191"/>
      <c r="AH136" s="192">
        <f t="shared" ref="AH136:AH178" ca="1" si="30">VLOOKUP(AB136,$T$6:$X$325,5)</f>
        <v>0</v>
      </c>
      <c r="AI136" s="233" t="str">
        <f t="shared" ref="AI136:AI199" ca="1" si="31">IF(AB136&gt;$U$4,"",CONCATENATE("Eröffnung: ",VLOOKUP(AB136,$T$6:$X$325,4)))</f>
        <v/>
      </c>
    </row>
    <row r="137" spans="1:35" ht="15">
      <c r="A137" s="73" t="str">
        <f>IF(Calc!AM138&lt;&gt;"",Calc!AM138,"")</f>
        <v/>
      </c>
      <c r="B137" s="74">
        <f>IF(Calc!AN138&lt;&gt;"",Calc!AN138,"")</f>
        <v>0</v>
      </c>
      <c r="C137" s="74" t="str">
        <f ca="1">IF(Calc!AO138&lt;&gt;"",Calc!AO138,"")</f>
        <v/>
      </c>
      <c r="D137" s="75" t="str">
        <f ca="1">IF(Calc!AP138&lt;&gt;"",Calc!AP138,"")</f>
        <v/>
      </c>
      <c r="E137" s="77" t="str">
        <f ca="1">IF(Calc!AQ138&lt;&gt;"",Calc!AQ138,"")</f>
        <v/>
      </c>
      <c r="F137" s="79" t="str">
        <f>Calc!AU138</f>
        <v/>
      </c>
      <c r="G137" s="74">
        <f>Calc!AV138</f>
        <v>0</v>
      </c>
      <c r="H137" s="74" t="str">
        <f ca="1">Calc!AW138</f>
        <v/>
      </c>
      <c r="I137" s="75" t="str">
        <f ca="1">Calc!AX138</f>
        <v/>
      </c>
      <c r="J137" s="76" t="str">
        <f ca="1">Calc!AY138</f>
        <v/>
      </c>
      <c r="S137">
        <f t="shared" ref="S137:S160" ca="1" si="32">IF(OR(B137=0,D137=0),0,1)</f>
        <v>0</v>
      </c>
      <c r="T137">
        <f t="shared" ref="T137:T161" ca="1" si="33">IF(S137=0,T136+0.0001,ROUND(1+T136,0))</f>
        <v>2.012800000000027</v>
      </c>
      <c r="U137" s="200" t="s">
        <v>264</v>
      </c>
      <c r="V137">
        <f t="shared" ref="V137:V160" ca="1" si="34">IF(S137&lt;&gt;0,B137,0)</f>
        <v>0</v>
      </c>
      <c r="W137">
        <f t="shared" ref="W137:W160" ca="1" si="35">IF(S137&lt;&gt;0,C137,0)</f>
        <v>0</v>
      </c>
      <c r="X137">
        <f t="shared" ref="X137:X160" ca="1" si="36">IF(S137&lt;&gt;0,D137,0)</f>
        <v>0</v>
      </c>
      <c r="AB137">
        <f t="shared" si="27"/>
        <v>131</v>
      </c>
      <c r="AC137" s="189" t="str">
        <f t="shared" ca="1" si="28"/>
        <v/>
      </c>
      <c r="AD137" s="190" t="str">
        <f t="shared" ca="1" si="29"/>
        <v/>
      </c>
      <c r="AE137" s="191" t="str">
        <f t="shared" ca="1" si="25"/>
        <v/>
      </c>
      <c r="AF137" s="191" t="str">
        <f t="shared" ca="1" si="26"/>
        <v/>
      </c>
      <c r="AG137" s="191"/>
      <c r="AH137" s="192">
        <f t="shared" ca="1" si="30"/>
        <v>0</v>
      </c>
      <c r="AI137" s="233" t="str">
        <f t="shared" ca="1" si="31"/>
        <v/>
      </c>
    </row>
    <row r="138" spans="1:35" ht="15">
      <c r="A138" s="73" t="str">
        <f>IF(Calc!AM139&lt;&gt;"",Calc!AM139,"")</f>
        <v/>
      </c>
      <c r="B138" s="74">
        <f>IF(Calc!AN139&lt;&gt;"",Calc!AN139,"")</f>
        <v>0</v>
      </c>
      <c r="C138" s="74" t="str">
        <f ca="1">IF(Calc!AO139&lt;&gt;"",Calc!AO139,"")</f>
        <v/>
      </c>
      <c r="D138" s="75" t="str">
        <f ca="1">IF(Calc!AP139&lt;&gt;"",Calc!AP139,"")</f>
        <v/>
      </c>
      <c r="E138" s="77" t="str">
        <f ca="1">IF(Calc!AQ139&lt;&gt;"",Calc!AQ139,"")</f>
        <v/>
      </c>
      <c r="F138" s="79" t="str">
        <f>Calc!AU139</f>
        <v/>
      </c>
      <c r="G138" s="74">
        <f>Calc!AV139</f>
        <v>0</v>
      </c>
      <c r="H138" s="74" t="str">
        <f ca="1">Calc!AW139</f>
        <v/>
      </c>
      <c r="I138" s="75" t="str">
        <f ca="1">Calc!AX139</f>
        <v/>
      </c>
      <c r="J138" s="76" t="str">
        <f ca="1">Calc!AY139</f>
        <v/>
      </c>
      <c r="S138">
        <f t="shared" ca="1" si="32"/>
        <v>0</v>
      </c>
      <c r="T138">
        <f t="shared" ca="1" si="33"/>
        <v>2.0129000000000272</v>
      </c>
      <c r="U138" s="200" t="s">
        <v>264</v>
      </c>
      <c r="V138">
        <f t="shared" ca="1" si="34"/>
        <v>0</v>
      </c>
      <c r="W138">
        <f t="shared" ca="1" si="35"/>
        <v>0</v>
      </c>
      <c r="X138">
        <f t="shared" ca="1" si="36"/>
        <v>0</v>
      </c>
      <c r="AB138">
        <f t="shared" si="27"/>
        <v>132</v>
      </c>
      <c r="AC138" s="189" t="str">
        <f t="shared" ca="1" si="28"/>
        <v/>
      </c>
      <c r="AD138" s="190" t="str">
        <f t="shared" ca="1" si="29"/>
        <v/>
      </c>
      <c r="AE138" s="191" t="str">
        <f t="shared" ca="1" si="25"/>
        <v/>
      </c>
      <c r="AF138" s="191" t="str">
        <f t="shared" ca="1" si="26"/>
        <v/>
      </c>
      <c r="AG138" s="191"/>
      <c r="AH138" s="192">
        <f t="shared" ca="1" si="30"/>
        <v>0</v>
      </c>
      <c r="AI138" s="233" t="str">
        <f t="shared" ca="1" si="31"/>
        <v/>
      </c>
    </row>
    <row r="139" spans="1:35" ht="15">
      <c r="A139" s="73" t="str">
        <f>IF(Calc!AM140&lt;&gt;"",Calc!AM140,"")</f>
        <v/>
      </c>
      <c r="B139" s="74">
        <f>IF(Calc!AN140&lt;&gt;"",Calc!AN140,"")</f>
        <v>0</v>
      </c>
      <c r="C139" s="74" t="str">
        <f ca="1">IF(Calc!AO140&lt;&gt;"",Calc!AO140,"")</f>
        <v/>
      </c>
      <c r="D139" s="75" t="str">
        <f ca="1">IF(Calc!AP140&lt;&gt;"",Calc!AP140,"")</f>
        <v/>
      </c>
      <c r="E139" s="77" t="str">
        <f ca="1">IF(Calc!AQ140&lt;&gt;"",Calc!AQ140,"")</f>
        <v/>
      </c>
      <c r="F139" s="79" t="str">
        <f>Calc!AU140</f>
        <v/>
      </c>
      <c r="G139" s="74">
        <f>Calc!AV140</f>
        <v>0</v>
      </c>
      <c r="H139" s="74" t="str">
        <f ca="1">Calc!AW140</f>
        <v/>
      </c>
      <c r="I139" s="75" t="str">
        <f ca="1">Calc!AX140</f>
        <v/>
      </c>
      <c r="J139" s="76" t="str">
        <f ca="1">Calc!AY140</f>
        <v/>
      </c>
      <c r="S139">
        <f t="shared" ca="1" si="32"/>
        <v>0</v>
      </c>
      <c r="T139">
        <f t="shared" ca="1" si="33"/>
        <v>2.0130000000000274</v>
      </c>
      <c r="U139" s="200" t="s">
        <v>264</v>
      </c>
      <c r="V139">
        <f t="shared" ca="1" si="34"/>
        <v>0</v>
      </c>
      <c r="W139">
        <f t="shared" ca="1" si="35"/>
        <v>0</v>
      </c>
      <c r="X139">
        <f t="shared" ca="1" si="36"/>
        <v>0</v>
      </c>
      <c r="AB139">
        <f t="shared" si="27"/>
        <v>133</v>
      </c>
      <c r="AC139" s="189" t="str">
        <f t="shared" ca="1" si="28"/>
        <v/>
      </c>
      <c r="AD139" s="190" t="str">
        <f t="shared" ca="1" si="29"/>
        <v/>
      </c>
      <c r="AE139" s="191" t="str">
        <f t="shared" ca="1" si="25"/>
        <v/>
      </c>
      <c r="AF139" s="191" t="str">
        <f t="shared" ca="1" si="26"/>
        <v/>
      </c>
      <c r="AG139" s="191"/>
      <c r="AH139" s="192">
        <f t="shared" ca="1" si="30"/>
        <v>0</v>
      </c>
      <c r="AI139" s="233" t="str">
        <f t="shared" ca="1" si="31"/>
        <v/>
      </c>
    </row>
    <row r="140" spans="1:35" ht="15">
      <c r="A140" s="73" t="str">
        <f>IF(Calc!AM141&lt;&gt;"",Calc!AM141,"")</f>
        <v/>
      </c>
      <c r="B140" s="74">
        <f>IF(Calc!AN141&lt;&gt;"",Calc!AN141,"")</f>
        <v>0</v>
      </c>
      <c r="C140" s="74" t="str">
        <f ca="1">IF(Calc!AO141&lt;&gt;"",Calc!AO141,"")</f>
        <v/>
      </c>
      <c r="D140" s="75" t="str">
        <f ca="1">IF(Calc!AP141&lt;&gt;"",Calc!AP141,"")</f>
        <v/>
      </c>
      <c r="E140" s="77" t="str">
        <f ca="1">IF(Calc!AQ141&lt;&gt;"",Calc!AQ141,"")</f>
        <v/>
      </c>
      <c r="F140" s="79" t="str">
        <f>Calc!AU141</f>
        <v/>
      </c>
      <c r="G140" s="74">
        <f>Calc!AV141</f>
        <v>0</v>
      </c>
      <c r="H140" s="74" t="str">
        <f ca="1">Calc!AW141</f>
        <v/>
      </c>
      <c r="I140" s="75" t="str">
        <f ca="1">Calc!AX141</f>
        <v/>
      </c>
      <c r="J140" s="76" t="str">
        <f ca="1">Calc!AY141</f>
        <v/>
      </c>
      <c r="S140">
        <f t="shared" ca="1" si="32"/>
        <v>0</v>
      </c>
      <c r="T140">
        <f t="shared" ca="1" si="33"/>
        <v>2.0131000000000276</v>
      </c>
      <c r="U140" s="200" t="s">
        <v>264</v>
      </c>
      <c r="V140">
        <f t="shared" ca="1" si="34"/>
        <v>0</v>
      </c>
      <c r="W140">
        <f t="shared" ca="1" si="35"/>
        <v>0</v>
      </c>
      <c r="X140">
        <f t="shared" ca="1" si="36"/>
        <v>0</v>
      </c>
      <c r="AB140">
        <f t="shared" si="27"/>
        <v>134</v>
      </c>
      <c r="AC140" s="189" t="str">
        <f t="shared" ca="1" si="28"/>
        <v/>
      </c>
      <c r="AD140" s="190" t="str">
        <f t="shared" ca="1" si="29"/>
        <v/>
      </c>
      <c r="AE140" s="191" t="str">
        <f t="shared" ca="1" si="25"/>
        <v/>
      </c>
      <c r="AF140" s="191" t="str">
        <f t="shared" ca="1" si="26"/>
        <v/>
      </c>
      <c r="AG140" s="191"/>
      <c r="AH140" s="192">
        <f t="shared" ca="1" si="30"/>
        <v>0</v>
      </c>
      <c r="AI140" s="233" t="str">
        <f t="shared" ca="1" si="31"/>
        <v/>
      </c>
    </row>
    <row r="141" spans="1:35" ht="15">
      <c r="A141" s="73" t="str">
        <f>IF(Calc!AM142&lt;&gt;"",Calc!AM142,"")</f>
        <v/>
      </c>
      <c r="B141" s="74">
        <f>IF(Calc!AN142&lt;&gt;"",Calc!AN142,"")</f>
        <v>0</v>
      </c>
      <c r="C141" s="74" t="str">
        <f ca="1">IF(Calc!AO142&lt;&gt;"",Calc!AO142,"")</f>
        <v/>
      </c>
      <c r="D141" s="75" t="str">
        <f ca="1">IF(Calc!AP142&lt;&gt;"",Calc!AP142,"")</f>
        <v/>
      </c>
      <c r="E141" s="77" t="str">
        <f ca="1">IF(Calc!AQ142&lt;&gt;"",Calc!AQ142,"")</f>
        <v/>
      </c>
      <c r="F141" s="79" t="str">
        <f>Calc!AU142</f>
        <v/>
      </c>
      <c r="G141" s="74">
        <f>Calc!AV142</f>
        <v>0</v>
      </c>
      <c r="H141" s="74" t="str">
        <f ca="1">Calc!AW142</f>
        <v/>
      </c>
      <c r="I141" s="75" t="str">
        <f ca="1">Calc!AX142</f>
        <v/>
      </c>
      <c r="J141" s="76" t="str">
        <f ca="1">Calc!AY142</f>
        <v/>
      </c>
      <c r="S141">
        <f t="shared" ca="1" si="32"/>
        <v>0</v>
      </c>
      <c r="T141">
        <f t="shared" ca="1" si="33"/>
        <v>2.0132000000000279</v>
      </c>
      <c r="U141" s="200" t="s">
        <v>264</v>
      </c>
      <c r="V141">
        <f t="shared" ca="1" si="34"/>
        <v>0</v>
      </c>
      <c r="W141">
        <f t="shared" ca="1" si="35"/>
        <v>0</v>
      </c>
      <c r="X141">
        <f t="shared" ca="1" si="36"/>
        <v>0</v>
      </c>
      <c r="AB141">
        <f t="shared" si="27"/>
        <v>135</v>
      </c>
      <c r="AC141" s="189" t="str">
        <f t="shared" ca="1" si="28"/>
        <v/>
      </c>
      <c r="AD141" s="190" t="str">
        <f t="shared" ca="1" si="29"/>
        <v/>
      </c>
      <c r="AE141" s="191" t="str">
        <f t="shared" ca="1" si="25"/>
        <v/>
      </c>
      <c r="AF141" s="191" t="str">
        <f t="shared" ca="1" si="26"/>
        <v/>
      </c>
      <c r="AG141" s="191"/>
      <c r="AH141" s="192">
        <f t="shared" ca="1" si="30"/>
        <v>0</v>
      </c>
      <c r="AI141" s="233" t="str">
        <f t="shared" ca="1" si="31"/>
        <v/>
      </c>
    </row>
    <row r="142" spans="1:35" ht="15">
      <c r="A142" s="73" t="str">
        <f>IF(Calc!AM143&lt;&gt;"",Calc!AM143,"")</f>
        <v/>
      </c>
      <c r="B142" s="74">
        <f>IF(Calc!AN143&lt;&gt;"",Calc!AN143,"")</f>
        <v>0</v>
      </c>
      <c r="C142" s="74" t="str">
        <f ca="1">IF(Calc!AO143&lt;&gt;"",Calc!AO143,"")</f>
        <v/>
      </c>
      <c r="D142" s="75" t="str">
        <f ca="1">IF(Calc!AP143&lt;&gt;"",Calc!AP143,"")</f>
        <v/>
      </c>
      <c r="E142" s="77" t="str">
        <f ca="1">IF(Calc!AQ143&lt;&gt;"",Calc!AQ143,"")</f>
        <v/>
      </c>
      <c r="F142" s="79" t="str">
        <f>Calc!AU143</f>
        <v/>
      </c>
      <c r="G142" s="74">
        <f>Calc!AV143</f>
        <v>0</v>
      </c>
      <c r="H142" s="74" t="str">
        <f ca="1">Calc!AW143</f>
        <v/>
      </c>
      <c r="I142" s="75" t="str">
        <f ca="1">Calc!AX143</f>
        <v/>
      </c>
      <c r="J142" s="76" t="str">
        <f ca="1">Calc!AY143</f>
        <v/>
      </c>
      <c r="S142">
        <f t="shared" ca="1" si="32"/>
        <v>0</v>
      </c>
      <c r="T142">
        <f t="shared" ca="1" si="33"/>
        <v>2.0133000000000281</v>
      </c>
      <c r="U142" s="200" t="s">
        <v>264</v>
      </c>
      <c r="V142">
        <f t="shared" ca="1" si="34"/>
        <v>0</v>
      </c>
      <c r="W142">
        <f t="shared" ca="1" si="35"/>
        <v>0</v>
      </c>
      <c r="X142">
        <f t="shared" ca="1" si="36"/>
        <v>0</v>
      </c>
      <c r="AB142">
        <f t="shared" si="27"/>
        <v>136</v>
      </c>
      <c r="AC142" s="189" t="str">
        <f t="shared" ca="1" si="28"/>
        <v/>
      </c>
      <c r="AD142" s="190" t="str">
        <f t="shared" ca="1" si="29"/>
        <v/>
      </c>
      <c r="AE142" s="191" t="str">
        <f t="shared" ca="1" si="25"/>
        <v/>
      </c>
      <c r="AF142" s="191" t="str">
        <f t="shared" ca="1" si="26"/>
        <v/>
      </c>
      <c r="AG142" s="191"/>
      <c r="AH142" s="192">
        <f t="shared" ca="1" si="30"/>
        <v>0</v>
      </c>
      <c r="AI142" s="233" t="str">
        <f t="shared" ca="1" si="31"/>
        <v/>
      </c>
    </row>
    <row r="143" spans="1:35" ht="15">
      <c r="A143" s="73" t="str">
        <f>IF(Calc!AM144&lt;&gt;"",Calc!AM144,"")</f>
        <v/>
      </c>
      <c r="B143" s="74">
        <f>IF(Calc!AN144&lt;&gt;"",Calc!AN144,"")</f>
        <v>0</v>
      </c>
      <c r="C143" s="74" t="str">
        <f ca="1">IF(Calc!AO144&lt;&gt;"",Calc!AO144,"")</f>
        <v/>
      </c>
      <c r="D143" s="75" t="str">
        <f ca="1">IF(Calc!AP144&lt;&gt;"",Calc!AP144,"")</f>
        <v/>
      </c>
      <c r="E143" s="77" t="str">
        <f ca="1">IF(Calc!AQ144&lt;&gt;"",Calc!AQ144,"")</f>
        <v/>
      </c>
      <c r="F143" s="79" t="str">
        <f>Calc!AU144</f>
        <v/>
      </c>
      <c r="G143" s="74">
        <f>Calc!AV144</f>
        <v>0</v>
      </c>
      <c r="H143" s="74" t="str">
        <f ca="1">Calc!AW144</f>
        <v/>
      </c>
      <c r="I143" s="75" t="str">
        <f ca="1">Calc!AX144</f>
        <v/>
      </c>
      <c r="J143" s="76" t="str">
        <f ca="1">Calc!AY144</f>
        <v/>
      </c>
      <c r="S143">
        <f t="shared" ca="1" si="32"/>
        <v>0</v>
      </c>
      <c r="T143">
        <f t="shared" ca="1" si="33"/>
        <v>2.0134000000000283</v>
      </c>
      <c r="U143" s="200" t="s">
        <v>264</v>
      </c>
      <c r="V143">
        <f t="shared" ca="1" si="34"/>
        <v>0</v>
      </c>
      <c r="W143">
        <f t="shared" ca="1" si="35"/>
        <v>0</v>
      </c>
      <c r="X143">
        <f t="shared" ca="1" si="36"/>
        <v>0</v>
      </c>
      <c r="AB143">
        <f t="shared" si="27"/>
        <v>137</v>
      </c>
      <c r="AC143" s="189" t="str">
        <f t="shared" ca="1" si="28"/>
        <v/>
      </c>
      <c r="AD143" s="190" t="str">
        <f t="shared" ca="1" si="29"/>
        <v/>
      </c>
      <c r="AE143" s="191" t="str">
        <f t="shared" ca="1" si="25"/>
        <v/>
      </c>
      <c r="AF143" s="191" t="str">
        <f t="shared" ca="1" si="26"/>
        <v/>
      </c>
      <c r="AG143" s="191"/>
      <c r="AH143" s="192">
        <f t="shared" ca="1" si="30"/>
        <v>0</v>
      </c>
      <c r="AI143" s="233" t="str">
        <f t="shared" ca="1" si="31"/>
        <v/>
      </c>
    </row>
    <row r="144" spans="1:35" ht="15">
      <c r="A144" s="73" t="str">
        <f>IF(Calc!AM145&lt;&gt;"",Calc!AM145,"")</f>
        <v/>
      </c>
      <c r="B144" s="74">
        <f>IF(Calc!AN145&lt;&gt;"",Calc!AN145,"")</f>
        <v>0</v>
      </c>
      <c r="C144" s="74" t="str">
        <f ca="1">IF(Calc!AO145&lt;&gt;"",Calc!AO145,"")</f>
        <v/>
      </c>
      <c r="D144" s="75" t="str">
        <f ca="1">IF(Calc!AP145&lt;&gt;"",Calc!AP145,"")</f>
        <v/>
      </c>
      <c r="E144" s="77" t="str">
        <f ca="1">IF(Calc!AQ145&lt;&gt;"",Calc!AQ145,"")</f>
        <v/>
      </c>
      <c r="F144" s="79" t="str">
        <f>Calc!AU145</f>
        <v/>
      </c>
      <c r="G144" s="74">
        <f>Calc!AV145</f>
        <v>0</v>
      </c>
      <c r="H144" s="74" t="str">
        <f ca="1">Calc!AW145</f>
        <v/>
      </c>
      <c r="I144" s="75" t="str">
        <f ca="1">Calc!AX145</f>
        <v/>
      </c>
      <c r="J144" s="76" t="str">
        <f ca="1">Calc!AY145</f>
        <v/>
      </c>
      <c r="S144">
        <f t="shared" ca="1" si="32"/>
        <v>0</v>
      </c>
      <c r="T144">
        <f t="shared" ca="1" si="33"/>
        <v>2.0135000000000285</v>
      </c>
      <c r="U144" s="200" t="s">
        <v>264</v>
      </c>
      <c r="V144">
        <f t="shared" ca="1" si="34"/>
        <v>0</v>
      </c>
      <c r="W144">
        <f t="shared" ca="1" si="35"/>
        <v>0</v>
      </c>
      <c r="X144">
        <f t="shared" ca="1" si="36"/>
        <v>0</v>
      </c>
      <c r="AB144">
        <f t="shared" si="27"/>
        <v>138</v>
      </c>
      <c r="AC144" s="189" t="str">
        <f t="shared" ca="1" si="28"/>
        <v/>
      </c>
      <c r="AD144" s="190" t="str">
        <f t="shared" ca="1" si="29"/>
        <v/>
      </c>
      <c r="AE144" s="191" t="str">
        <f t="shared" ca="1" si="25"/>
        <v/>
      </c>
      <c r="AF144" s="191" t="str">
        <f t="shared" ca="1" si="26"/>
        <v/>
      </c>
      <c r="AG144" s="191"/>
      <c r="AH144" s="192">
        <f t="shared" ca="1" si="30"/>
        <v>0</v>
      </c>
      <c r="AI144" s="233" t="str">
        <f t="shared" ca="1" si="31"/>
        <v/>
      </c>
    </row>
    <row r="145" spans="1:35" ht="15">
      <c r="A145" s="73" t="str">
        <f>IF(Calc!AM146&lt;&gt;"",Calc!AM146,"")</f>
        <v/>
      </c>
      <c r="B145" s="74">
        <f>IF(Calc!AN146&lt;&gt;"",Calc!AN146,"")</f>
        <v>0</v>
      </c>
      <c r="C145" s="74" t="str">
        <f ca="1">IF(Calc!AO146&lt;&gt;"",Calc!AO146,"")</f>
        <v/>
      </c>
      <c r="D145" s="75" t="str">
        <f ca="1">IF(Calc!AP146&lt;&gt;"",Calc!AP146,"")</f>
        <v/>
      </c>
      <c r="E145" s="77" t="str">
        <f ca="1">IF(Calc!AQ146&lt;&gt;"",Calc!AQ146,"")</f>
        <v/>
      </c>
      <c r="F145" s="79" t="str">
        <f>Calc!AU146</f>
        <v/>
      </c>
      <c r="G145" s="74">
        <f>Calc!AV146</f>
        <v>0</v>
      </c>
      <c r="H145" s="74" t="str">
        <f ca="1">Calc!AW146</f>
        <v/>
      </c>
      <c r="I145" s="75" t="str">
        <f ca="1">Calc!AX146</f>
        <v/>
      </c>
      <c r="J145" s="76" t="str">
        <f ca="1">Calc!AY146</f>
        <v/>
      </c>
      <c r="S145">
        <f t="shared" ca="1" si="32"/>
        <v>0</v>
      </c>
      <c r="T145">
        <f t="shared" ca="1" si="33"/>
        <v>2.0136000000000287</v>
      </c>
      <c r="U145" s="200" t="s">
        <v>264</v>
      </c>
      <c r="V145">
        <f t="shared" ca="1" si="34"/>
        <v>0</v>
      </c>
      <c r="W145">
        <f t="shared" ca="1" si="35"/>
        <v>0</v>
      </c>
      <c r="X145">
        <f t="shared" ca="1" si="36"/>
        <v>0</v>
      </c>
      <c r="AB145">
        <f t="shared" si="27"/>
        <v>139</v>
      </c>
      <c r="AC145" s="189" t="str">
        <f t="shared" ca="1" si="28"/>
        <v/>
      </c>
      <c r="AD145" s="190" t="str">
        <f t="shared" ca="1" si="29"/>
        <v/>
      </c>
      <c r="AE145" s="191" t="str">
        <f t="shared" ca="1" si="25"/>
        <v/>
      </c>
      <c r="AF145" s="191" t="str">
        <f t="shared" ca="1" si="26"/>
        <v/>
      </c>
      <c r="AG145" s="191"/>
      <c r="AH145" s="192">
        <f t="shared" ca="1" si="30"/>
        <v>0</v>
      </c>
      <c r="AI145" s="233" t="str">
        <f t="shared" ca="1" si="31"/>
        <v/>
      </c>
    </row>
    <row r="146" spans="1:35" ht="15">
      <c r="A146" s="73" t="str">
        <f>IF(Calc!AM147&lt;&gt;"",Calc!AM147,"")</f>
        <v/>
      </c>
      <c r="B146" s="74">
        <f>IF(Calc!AN147&lt;&gt;"",Calc!AN147,"")</f>
        <v>0</v>
      </c>
      <c r="C146" s="74" t="str">
        <f ca="1">IF(Calc!AO147&lt;&gt;"",Calc!AO147,"")</f>
        <v/>
      </c>
      <c r="D146" s="75" t="str">
        <f ca="1">IF(Calc!AP147&lt;&gt;"",Calc!AP147,"")</f>
        <v/>
      </c>
      <c r="E146" s="77" t="str">
        <f ca="1">IF(Calc!AQ147&lt;&gt;"",Calc!AQ147,"")</f>
        <v/>
      </c>
      <c r="F146" s="79" t="str">
        <f>Calc!AU147</f>
        <v/>
      </c>
      <c r="G146" s="74">
        <f>Calc!AV147</f>
        <v>0</v>
      </c>
      <c r="H146" s="74" t="str">
        <f ca="1">Calc!AW147</f>
        <v/>
      </c>
      <c r="I146" s="75" t="str">
        <f ca="1">Calc!AX147</f>
        <v/>
      </c>
      <c r="J146" s="76" t="str">
        <f ca="1">Calc!AY147</f>
        <v/>
      </c>
      <c r="S146">
        <f t="shared" ca="1" si="32"/>
        <v>0</v>
      </c>
      <c r="T146">
        <f t="shared" ca="1" si="33"/>
        <v>2.0137000000000289</v>
      </c>
      <c r="U146" s="200" t="s">
        <v>264</v>
      </c>
      <c r="V146">
        <f t="shared" ca="1" si="34"/>
        <v>0</v>
      </c>
      <c r="W146">
        <f t="shared" ca="1" si="35"/>
        <v>0</v>
      </c>
      <c r="X146">
        <f t="shared" ca="1" si="36"/>
        <v>0</v>
      </c>
      <c r="AB146">
        <f t="shared" si="27"/>
        <v>140</v>
      </c>
      <c r="AC146" s="189" t="str">
        <f t="shared" ca="1" si="28"/>
        <v/>
      </c>
      <c r="AD146" s="190" t="str">
        <f t="shared" ca="1" si="29"/>
        <v/>
      </c>
      <c r="AE146" s="191" t="str">
        <f t="shared" ca="1" si="25"/>
        <v/>
      </c>
      <c r="AF146" s="191" t="str">
        <f t="shared" ca="1" si="26"/>
        <v/>
      </c>
      <c r="AG146" s="191"/>
      <c r="AH146" s="192">
        <f t="shared" ca="1" si="30"/>
        <v>0</v>
      </c>
      <c r="AI146" s="233" t="str">
        <f t="shared" ca="1" si="31"/>
        <v/>
      </c>
    </row>
    <row r="147" spans="1:35" ht="15">
      <c r="A147" s="73" t="str">
        <f>IF(Calc!AM148&lt;&gt;"",Calc!AM148,"")</f>
        <v/>
      </c>
      <c r="B147" s="74">
        <f>IF(Calc!AN148&lt;&gt;"",Calc!AN148,"")</f>
        <v>0</v>
      </c>
      <c r="C147" s="74" t="str">
        <f ca="1">IF(Calc!AO148&lt;&gt;"",Calc!AO148,"")</f>
        <v/>
      </c>
      <c r="D147" s="75" t="str">
        <f ca="1">IF(Calc!AP148&lt;&gt;"",Calc!AP148,"")</f>
        <v/>
      </c>
      <c r="E147" s="77" t="str">
        <f ca="1">IF(Calc!AQ148&lt;&gt;"",Calc!AQ148,"")</f>
        <v/>
      </c>
      <c r="F147" s="79" t="str">
        <f>Calc!AU148</f>
        <v/>
      </c>
      <c r="G147" s="74">
        <f>Calc!AV148</f>
        <v>0</v>
      </c>
      <c r="H147" s="74" t="str">
        <f ca="1">Calc!AW148</f>
        <v/>
      </c>
      <c r="I147" s="75" t="str">
        <f ca="1">Calc!AX148</f>
        <v/>
      </c>
      <c r="J147" s="76" t="str">
        <f ca="1">Calc!AY148</f>
        <v/>
      </c>
      <c r="S147">
        <f t="shared" ca="1" si="32"/>
        <v>0</v>
      </c>
      <c r="T147">
        <f t="shared" ca="1" si="33"/>
        <v>2.0138000000000291</v>
      </c>
      <c r="U147" s="200" t="s">
        <v>264</v>
      </c>
      <c r="V147">
        <f t="shared" ca="1" si="34"/>
        <v>0</v>
      </c>
      <c r="W147">
        <f t="shared" ca="1" si="35"/>
        <v>0</v>
      </c>
      <c r="X147">
        <f t="shared" ca="1" si="36"/>
        <v>0</v>
      </c>
      <c r="AB147">
        <f t="shared" si="27"/>
        <v>141</v>
      </c>
      <c r="AC147" s="189" t="str">
        <f t="shared" ca="1" si="28"/>
        <v/>
      </c>
      <c r="AD147" s="190" t="str">
        <f t="shared" ca="1" si="29"/>
        <v/>
      </c>
      <c r="AE147" s="191" t="str">
        <f t="shared" ca="1" si="25"/>
        <v/>
      </c>
      <c r="AF147" s="191" t="str">
        <f t="shared" ca="1" si="26"/>
        <v/>
      </c>
      <c r="AG147" s="191"/>
      <c r="AH147" s="192">
        <f t="shared" ca="1" si="30"/>
        <v>0</v>
      </c>
      <c r="AI147" s="233" t="str">
        <f t="shared" ca="1" si="31"/>
        <v/>
      </c>
    </row>
    <row r="148" spans="1:35" ht="15">
      <c r="A148" s="73" t="str">
        <f>IF(Calc!AM149&lt;&gt;"",Calc!AM149,"")</f>
        <v/>
      </c>
      <c r="B148" s="74">
        <f>IF(Calc!AN149&lt;&gt;"",Calc!AN149,"")</f>
        <v>0</v>
      </c>
      <c r="C148" s="74" t="str">
        <f ca="1">IF(Calc!AO149&lt;&gt;"",Calc!AO149,"")</f>
        <v/>
      </c>
      <c r="D148" s="75" t="str">
        <f ca="1">IF(Calc!AP149&lt;&gt;"",Calc!AP149,"")</f>
        <v/>
      </c>
      <c r="E148" s="77" t="str">
        <f ca="1">IF(Calc!AQ149&lt;&gt;"",Calc!AQ149,"")</f>
        <v/>
      </c>
      <c r="F148" s="79" t="str">
        <f>Calc!AU149</f>
        <v/>
      </c>
      <c r="G148" s="74">
        <f>Calc!AV149</f>
        <v>0</v>
      </c>
      <c r="H148" s="74" t="str">
        <f ca="1">Calc!AW149</f>
        <v/>
      </c>
      <c r="I148" s="75" t="str">
        <f ca="1">Calc!AX149</f>
        <v/>
      </c>
      <c r="J148" s="76" t="str">
        <f ca="1">Calc!AY149</f>
        <v/>
      </c>
      <c r="S148">
        <f t="shared" ca="1" si="32"/>
        <v>0</v>
      </c>
      <c r="T148">
        <f t="shared" ca="1" si="33"/>
        <v>2.0139000000000293</v>
      </c>
      <c r="U148" s="200" t="s">
        <v>264</v>
      </c>
      <c r="V148">
        <f t="shared" ca="1" si="34"/>
        <v>0</v>
      </c>
      <c r="W148">
        <f t="shared" ca="1" si="35"/>
        <v>0</v>
      </c>
      <c r="X148">
        <f t="shared" ca="1" si="36"/>
        <v>0</v>
      </c>
      <c r="AB148">
        <f t="shared" si="27"/>
        <v>142</v>
      </c>
      <c r="AC148" s="189" t="str">
        <f t="shared" ca="1" si="28"/>
        <v/>
      </c>
      <c r="AD148" s="190" t="str">
        <f t="shared" ca="1" si="29"/>
        <v/>
      </c>
      <c r="AE148" s="191" t="str">
        <f t="shared" ca="1" si="25"/>
        <v/>
      </c>
      <c r="AF148" s="191" t="str">
        <f t="shared" ca="1" si="26"/>
        <v/>
      </c>
      <c r="AG148" s="191"/>
      <c r="AH148" s="192">
        <f t="shared" ca="1" si="30"/>
        <v>0</v>
      </c>
      <c r="AI148" s="233" t="str">
        <f t="shared" ca="1" si="31"/>
        <v/>
      </c>
    </row>
    <row r="149" spans="1:35" ht="15">
      <c r="A149" s="73" t="str">
        <f>IF(Calc!AM150&lt;&gt;"",Calc!AM150,"")</f>
        <v/>
      </c>
      <c r="B149" s="74">
        <f>IF(Calc!AN150&lt;&gt;"",Calc!AN150,"")</f>
        <v>0</v>
      </c>
      <c r="C149" s="74" t="str">
        <f ca="1">IF(Calc!AO150&lt;&gt;"",Calc!AO150,"")</f>
        <v/>
      </c>
      <c r="D149" s="75" t="str">
        <f ca="1">IF(Calc!AP150&lt;&gt;"",Calc!AP150,"")</f>
        <v/>
      </c>
      <c r="E149" s="77" t="str">
        <f ca="1">IF(Calc!AQ150&lt;&gt;"",Calc!AQ150,"")</f>
        <v/>
      </c>
      <c r="F149" s="79" t="str">
        <f>Calc!AU150</f>
        <v/>
      </c>
      <c r="G149" s="74">
        <f>Calc!AV150</f>
        <v>0</v>
      </c>
      <c r="H149" s="74" t="str">
        <f ca="1">Calc!AW150</f>
        <v/>
      </c>
      <c r="I149" s="75" t="str">
        <f ca="1">Calc!AX150</f>
        <v/>
      </c>
      <c r="J149" s="76" t="str">
        <f ca="1">Calc!AY150</f>
        <v/>
      </c>
      <c r="S149">
        <f t="shared" ca="1" si="32"/>
        <v>0</v>
      </c>
      <c r="T149">
        <f t="shared" ca="1" si="33"/>
        <v>2.0140000000000295</v>
      </c>
      <c r="U149" s="200" t="s">
        <v>264</v>
      </c>
      <c r="V149">
        <f t="shared" ca="1" si="34"/>
        <v>0</v>
      </c>
      <c r="W149">
        <f t="shared" ca="1" si="35"/>
        <v>0</v>
      </c>
      <c r="X149">
        <f t="shared" ca="1" si="36"/>
        <v>0</v>
      </c>
      <c r="AB149">
        <f t="shared" si="27"/>
        <v>143</v>
      </c>
      <c r="AC149" s="189" t="str">
        <f t="shared" ca="1" si="28"/>
        <v/>
      </c>
      <c r="AD149" s="190" t="str">
        <f t="shared" ca="1" si="29"/>
        <v/>
      </c>
      <c r="AE149" s="191" t="str">
        <f t="shared" ca="1" si="25"/>
        <v/>
      </c>
      <c r="AF149" s="191" t="str">
        <f t="shared" ca="1" si="26"/>
        <v/>
      </c>
      <c r="AG149" s="191"/>
      <c r="AH149" s="192">
        <f t="shared" ca="1" si="30"/>
        <v>0</v>
      </c>
      <c r="AI149" s="233" t="str">
        <f t="shared" ca="1" si="31"/>
        <v/>
      </c>
    </row>
    <row r="150" spans="1:35" ht="15">
      <c r="A150" s="73" t="str">
        <f>IF(Calc!AM151&lt;&gt;"",Calc!AM151,"")</f>
        <v/>
      </c>
      <c r="B150" s="74">
        <f>IF(Calc!AN151&lt;&gt;"",Calc!AN151,"")</f>
        <v>0</v>
      </c>
      <c r="C150" s="74" t="str">
        <f ca="1">IF(Calc!AO151&lt;&gt;"",Calc!AO151,"")</f>
        <v/>
      </c>
      <c r="D150" s="75" t="str">
        <f ca="1">IF(Calc!AP151&lt;&gt;"",Calc!AP151,"")</f>
        <v/>
      </c>
      <c r="E150" s="77" t="str">
        <f ca="1">IF(Calc!AQ151&lt;&gt;"",Calc!AQ151,"")</f>
        <v/>
      </c>
      <c r="F150" s="79" t="str">
        <f>Calc!AU151</f>
        <v/>
      </c>
      <c r="G150" s="74">
        <f>Calc!AV151</f>
        <v>0</v>
      </c>
      <c r="H150" s="74" t="str">
        <f ca="1">Calc!AW151</f>
        <v/>
      </c>
      <c r="I150" s="75" t="str">
        <f ca="1">Calc!AX151</f>
        <v/>
      </c>
      <c r="J150" s="76" t="str">
        <f ca="1">Calc!AY151</f>
        <v/>
      </c>
      <c r="S150">
        <f t="shared" ca="1" si="32"/>
        <v>0</v>
      </c>
      <c r="T150">
        <f t="shared" ca="1" si="33"/>
        <v>2.0141000000000298</v>
      </c>
      <c r="U150" s="200" t="s">
        <v>264</v>
      </c>
      <c r="V150">
        <f t="shared" ca="1" si="34"/>
        <v>0</v>
      </c>
      <c r="W150">
        <f t="shared" ca="1" si="35"/>
        <v>0</v>
      </c>
      <c r="X150">
        <f t="shared" ca="1" si="36"/>
        <v>0</v>
      </c>
      <c r="AB150">
        <f t="shared" si="27"/>
        <v>144</v>
      </c>
      <c r="AC150" s="189" t="str">
        <f t="shared" ca="1" si="28"/>
        <v/>
      </c>
      <c r="AD150" s="190" t="str">
        <f t="shared" ca="1" si="29"/>
        <v/>
      </c>
      <c r="AE150" s="191" t="str">
        <f t="shared" ca="1" si="25"/>
        <v/>
      </c>
      <c r="AF150" s="191" t="str">
        <f t="shared" ca="1" si="26"/>
        <v/>
      </c>
      <c r="AG150" s="191"/>
      <c r="AH150" s="192">
        <f t="shared" ca="1" si="30"/>
        <v>0</v>
      </c>
      <c r="AI150" s="233" t="str">
        <f t="shared" ca="1" si="31"/>
        <v/>
      </c>
    </row>
    <row r="151" spans="1:35" ht="15">
      <c r="A151" s="73" t="str">
        <f>IF(Calc!AM152&lt;&gt;"",Calc!AM152,"")</f>
        <v/>
      </c>
      <c r="B151" s="74">
        <f>IF(Calc!AN152&lt;&gt;"",Calc!AN152,"")</f>
        <v>0</v>
      </c>
      <c r="C151" s="74" t="str">
        <f ca="1">IF(Calc!AO152&lt;&gt;"",Calc!AO152,"")</f>
        <v/>
      </c>
      <c r="D151" s="75" t="str">
        <f ca="1">IF(Calc!AP152&lt;&gt;"",Calc!AP152,"")</f>
        <v/>
      </c>
      <c r="E151" s="77" t="str">
        <f ca="1">IF(Calc!AQ152&lt;&gt;"",Calc!AQ152,"")</f>
        <v/>
      </c>
      <c r="F151" s="79" t="str">
        <f>Calc!AU152</f>
        <v/>
      </c>
      <c r="G151" s="74">
        <f>Calc!AV152</f>
        <v>0</v>
      </c>
      <c r="H151" s="74" t="str">
        <f ca="1">Calc!AW152</f>
        <v/>
      </c>
      <c r="I151" s="75" t="str">
        <f ca="1">Calc!AX152</f>
        <v/>
      </c>
      <c r="J151" s="76" t="str">
        <f ca="1">Calc!AY152</f>
        <v/>
      </c>
      <c r="S151">
        <f t="shared" ca="1" si="32"/>
        <v>0</v>
      </c>
      <c r="T151">
        <f t="shared" ca="1" si="33"/>
        <v>2.01420000000003</v>
      </c>
      <c r="U151" s="200" t="s">
        <v>264</v>
      </c>
      <c r="V151">
        <f t="shared" ca="1" si="34"/>
        <v>0</v>
      </c>
      <c r="W151">
        <f t="shared" ca="1" si="35"/>
        <v>0</v>
      </c>
      <c r="X151">
        <f t="shared" ca="1" si="36"/>
        <v>0</v>
      </c>
      <c r="AB151">
        <f t="shared" si="27"/>
        <v>145</v>
      </c>
      <c r="AC151" s="189" t="str">
        <f t="shared" ca="1" si="28"/>
        <v/>
      </c>
      <c r="AD151" s="190" t="str">
        <f t="shared" ca="1" si="29"/>
        <v/>
      </c>
      <c r="AE151" s="191" t="str">
        <f t="shared" ca="1" si="25"/>
        <v/>
      </c>
      <c r="AF151" s="191" t="str">
        <f t="shared" ca="1" si="26"/>
        <v/>
      </c>
      <c r="AG151" s="191"/>
      <c r="AH151" s="192">
        <f t="shared" ca="1" si="30"/>
        <v>0</v>
      </c>
      <c r="AI151" s="233" t="str">
        <f t="shared" ca="1" si="31"/>
        <v/>
      </c>
    </row>
    <row r="152" spans="1:35" ht="15">
      <c r="A152" s="73" t="str">
        <f>IF(Calc!AM153&lt;&gt;"",Calc!AM153,"")</f>
        <v/>
      </c>
      <c r="B152" s="74">
        <f>IF(Calc!AN153&lt;&gt;"",Calc!AN153,"")</f>
        <v>0</v>
      </c>
      <c r="C152" s="74" t="str">
        <f ca="1">IF(Calc!AO153&lt;&gt;"",Calc!AO153,"")</f>
        <v/>
      </c>
      <c r="D152" s="75" t="str">
        <f ca="1">IF(Calc!AP153&lt;&gt;"",Calc!AP153,"")</f>
        <v/>
      </c>
      <c r="E152" s="77" t="str">
        <f ca="1">IF(Calc!AQ153&lt;&gt;"",Calc!AQ153,"")</f>
        <v/>
      </c>
      <c r="F152" s="79" t="str">
        <f>Calc!AU153</f>
        <v/>
      </c>
      <c r="G152" s="74">
        <f>Calc!AV153</f>
        <v>0</v>
      </c>
      <c r="H152" s="74" t="str">
        <f ca="1">Calc!AW153</f>
        <v/>
      </c>
      <c r="I152" s="75" t="str">
        <f ca="1">Calc!AX153</f>
        <v/>
      </c>
      <c r="J152" s="76" t="str">
        <f ca="1">Calc!AY153</f>
        <v/>
      </c>
      <c r="S152">
        <f t="shared" ca="1" si="32"/>
        <v>0</v>
      </c>
      <c r="T152">
        <f t="shared" ca="1" si="33"/>
        <v>2.0143000000000302</v>
      </c>
      <c r="U152" s="200" t="s">
        <v>264</v>
      </c>
      <c r="V152">
        <f t="shared" ca="1" si="34"/>
        <v>0</v>
      </c>
      <c r="W152">
        <f t="shared" ca="1" si="35"/>
        <v>0</v>
      </c>
      <c r="X152">
        <f t="shared" ca="1" si="36"/>
        <v>0</v>
      </c>
      <c r="AB152">
        <f t="shared" si="27"/>
        <v>146</v>
      </c>
      <c r="AC152" s="189" t="str">
        <f t="shared" ca="1" si="28"/>
        <v/>
      </c>
      <c r="AD152" s="190" t="str">
        <f t="shared" ca="1" si="29"/>
        <v/>
      </c>
      <c r="AE152" s="191" t="str">
        <f t="shared" ca="1" si="25"/>
        <v/>
      </c>
      <c r="AF152" s="191" t="str">
        <f t="shared" ca="1" si="26"/>
        <v/>
      </c>
      <c r="AG152" s="191"/>
      <c r="AH152" s="192">
        <f t="shared" ca="1" si="30"/>
        <v>0</v>
      </c>
      <c r="AI152" s="233" t="str">
        <f t="shared" ca="1" si="31"/>
        <v/>
      </c>
    </row>
    <row r="153" spans="1:35" ht="15">
      <c r="A153" s="73" t="str">
        <f>IF(Calc!AM154&lt;&gt;"",Calc!AM154,"")</f>
        <v/>
      </c>
      <c r="B153" s="74">
        <f>IF(Calc!AN154&lt;&gt;"",Calc!AN154,"")</f>
        <v>0</v>
      </c>
      <c r="C153" s="74" t="str">
        <f ca="1">IF(Calc!AO154&lt;&gt;"",Calc!AO154,"")</f>
        <v/>
      </c>
      <c r="D153" s="75" t="str">
        <f ca="1">IF(Calc!AP154&lt;&gt;"",Calc!AP154,"")</f>
        <v/>
      </c>
      <c r="E153" s="77" t="str">
        <f ca="1">IF(Calc!AQ154&lt;&gt;"",Calc!AQ154,"")</f>
        <v/>
      </c>
      <c r="F153" s="79" t="str">
        <f>Calc!AU154</f>
        <v/>
      </c>
      <c r="G153" s="74">
        <f>Calc!AV154</f>
        <v>0</v>
      </c>
      <c r="H153" s="74" t="str">
        <f ca="1">Calc!AW154</f>
        <v/>
      </c>
      <c r="I153" s="75" t="str">
        <f ca="1">Calc!AX154</f>
        <v/>
      </c>
      <c r="J153" s="76" t="str">
        <f ca="1">Calc!AY154</f>
        <v/>
      </c>
      <c r="S153">
        <f t="shared" ca="1" si="32"/>
        <v>0</v>
      </c>
      <c r="T153">
        <f t="shared" ca="1" si="33"/>
        <v>2.0144000000000304</v>
      </c>
      <c r="U153" s="200" t="s">
        <v>264</v>
      </c>
      <c r="V153">
        <f t="shared" ca="1" si="34"/>
        <v>0</v>
      </c>
      <c r="W153">
        <f t="shared" ca="1" si="35"/>
        <v>0</v>
      </c>
      <c r="X153">
        <f t="shared" ca="1" si="36"/>
        <v>0</v>
      </c>
      <c r="AB153">
        <f t="shared" si="27"/>
        <v>147</v>
      </c>
      <c r="AC153" s="189" t="str">
        <f t="shared" ca="1" si="28"/>
        <v/>
      </c>
      <c r="AD153" s="190" t="str">
        <f t="shared" ca="1" si="29"/>
        <v/>
      </c>
      <c r="AE153" s="191" t="str">
        <f t="shared" ca="1" si="25"/>
        <v/>
      </c>
      <c r="AF153" s="191" t="str">
        <f t="shared" ca="1" si="26"/>
        <v/>
      </c>
      <c r="AG153" s="191"/>
      <c r="AH153" s="192">
        <f t="shared" ca="1" si="30"/>
        <v>0</v>
      </c>
      <c r="AI153" s="233" t="str">
        <f t="shared" ca="1" si="31"/>
        <v/>
      </c>
    </row>
    <row r="154" spans="1:35" ht="15">
      <c r="A154" s="73" t="str">
        <f>IF(Calc!AM155&lt;&gt;"",Calc!AM155,"")</f>
        <v/>
      </c>
      <c r="B154" s="74">
        <f>IF(Calc!AN155&lt;&gt;"",Calc!AN155,"")</f>
        <v>0</v>
      </c>
      <c r="C154" s="74" t="str">
        <f ca="1">IF(Calc!AO155&lt;&gt;"",Calc!AO155,"")</f>
        <v/>
      </c>
      <c r="D154" s="75" t="str">
        <f ca="1">IF(Calc!AP155&lt;&gt;"",Calc!AP155,"")</f>
        <v/>
      </c>
      <c r="E154" s="77" t="str">
        <f ca="1">IF(Calc!AQ155&lt;&gt;"",Calc!AQ155,"")</f>
        <v/>
      </c>
      <c r="F154" s="79" t="str">
        <f>Calc!AU155</f>
        <v/>
      </c>
      <c r="G154" s="74">
        <f>Calc!AV155</f>
        <v>0</v>
      </c>
      <c r="H154" s="74" t="str">
        <f ca="1">Calc!AW155</f>
        <v/>
      </c>
      <c r="I154" s="75" t="str">
        <f ca="1">Calc!AX155</f>
        <v/>
      </c>
      <c r="J154" s="76" t="str">
        <f ca="1">Calc!AY155</f>
        <v/>
      </c>
      <c r="S154">
        <f t="shared" ca="1" si="32"/>
        <v>0</v>
      </c>
      <c r="T154">
        <f t="shared" ca="1" si="33"/>
        <v>2.0145000000000306</v>
      </c>
      <c r="U154" s="200" t="s">
        <v>264</v>
      </c>
      <c r="V154">
        <f t="shared" ca="1" si="34"/>
        <v>0</v>
      </c>
      <c r="W154">
        <f t="shared" ca="1" si="35"/>
        <v>0</v>
      </c>
      <c r="X154">
        <f t="shared" ca="1" si="36"/>
        <v>0</v>
      </c>
      <c r="AB154">
        <f t="shared" si="27"/>
        <v>148</v>
      </c>
      <c r="AC154" s="189" t="str">
        <f t="shared" ca="1" si="28"/>
        <v/>
      </c>
      <c r="AD154" s="190" t="str">
        <f t="shared" ca="1" si="29"/>
        <v/>
      </c>
      <c r="AE154" s="191" t="str">
        <f t="shared" ca="1" si="25"/>
        <v/>
      </c>
      <c r="AF154" s="191" t="str">
        <f t="shared" ca="1" si="26"/>
        <v/>
      </c>
      <c r="AG154" s="191"/>
      <c r="AH154" s="192">
        <f t="shared" ca="1" si="30"/>
        <v>0</v>
      </c>
      <c r="AI154" s="233" t="str">
        <f t="shared" ca="1" si="31"/>
        <v/>
      </c>
    </row>
    <row r="155" spans="1:35" ht="15">
      <c r="A155" s="73" t="str">
        <f>IF(Calc!AM156&lt;&gt;"",Calc!AM156,"")</f>
        <v/>
      </c>
      <c r="B155" s="74">
        <f>IF(Calc!AN156&lt;&gt;"",Calc!AN156,"")</f>
        <v>0</v>
      </c>
      <c r="C155" s="74" t="str">
        <f ca="1">IF(Calc!AO156&lt;&gt;"",Calc!AO156,"")</f>
        <v/>
      </c>
      <c r="D155" s="75" t="str">
        <f ca="1">IF(Calc!AP156&lt;&gt;"",Calc!AP156,"")</f>
        <v/>
      </c>
      <c r="E155" s="77" t="str">
        <f ca="1">IF(Calc!AQ156&lt;&gt;"",Calc!AQ156,"")</f>
        <v/>
      </c>
      <c r="F155" s="79" t="str">
        <f>Calc!AU156</f>
        <v/>
      </c>
      <c r="G155" s="74">
        <f>Calc!AV156</f>
        <v>0</v>
      </c>
      <c r="H155" s="74" t="str">
        <f ca="1">Calc!AW156</f>
        <v/>
      </c>
      <c r="I155" s="75" t="str">
        <f ca="1">Calc!AX156</f>
        <v/>
      </c>
      <c r="J155" s="76" t="str">
        <f ca="1">Calc!AY156</f>
        <v/>
      </c>
      <c r="S155">
        <f t="shared" ca="1" si="32"/>
        <v>0</v>
      </c>
      <c r="T155">
        <f t="shared" ca="1" si="33"/>
        <v>2.0146000000000308</v>
      </c>
      <c r="U155" s="200" t="s">
        <v>264</v>
      </c>
      <c r="V155">
        <f t="shared" ca="1" si="34"/>
        <v>0</v>
      </c>
      <c r="W155">
        <f t="shared" ca="1" si="35"/>
        <v>0</v>
      </c>
      <c r="X155">
        <f t="shared" ca="1" si="36"/>
        <v>0</v>
      </c>
      <c r="AB155">
        <f t="shared" si="27"/>
        <v>149</v>
      </c>
      <c r="AC155" s="189" t="str">
        <f t="shared" ca="1" si="28"/>
        <v/>
      </c>
      <c r="AD155" s="190" t="str">
        <f t="shared" ca="1" si="29"/>
        <v/>
      </c>
      <c r="AE155" s="191" t="str">
        <f t="shared" ca="1" si="25"/>
        <v/>
      </c>
      <c r="AF155" s="191" t="str">
        <f t="shared" ca="1" si="26"/>
        <v/>
      </c>
      <c r="AG155" s="191"/>
      <c r="AH155" s="192">
        <f t="shared" ca="1" si="30"/>
        <v>0</v>
      </c>
      <c r="AI155" s="233" t="str">
        <f t="shared" ca="1" si="31"/>
        <v/>
      </c>
    </row>
    <row r="156" spans="1:35" ht="15">
      <c r="A156" s="73" t="str">
        <f>IF(Calc!AM157&lt;&gt;"",Calc!AM157,"")</f>
        <v/>
      </c>
      <c r="B156" s="74">
        <f>IF(Calc!AN157&lt;&gt;"",Calc!AN157,"")</f>
        <v>0</v>
      </c>
      <c r="C156" s="74" t="str">
        <f ca="1">IF(Calc!AO157&lt;&gt;"",Calc!AO157,"")</f>
        <v/>
      </c>
      <c r="D156" s="75" t="str">
        <f ca="1">IF(Calc!AP157&lt;&gt;"",Calc!AP157,"")</f>
        <v/>
      </c>
      <c r="E156" s="77" t="str">
        <f ca="1">IF(Calc!AQ157&lt;&gt;"",Calc!AQ157,"")</f>
        <v/>
      </c>
      <c r="F156" s="79" t="str">
        <f>Calc!AU157</f>
        <v/>
      </c>
      <c r="G156" s="74">
        <f>Calc!AV157</f>
        <v>0</v>
      </c>
      <c r="H156" s="74" t="str">
        <f ca="1">Calc!AW157</f>
        <v/>
      </c>
      <c r="I156" s="75" t="str">
        <f ca="1">Calc!AX157</f>
        <v/>
      </c>
      <c r="J156" s="76" t="str">
        <f ca="1">Calc!AY157</f>
        <v/>
      </c>
      <c r="S156">
        <f t="shared" ca="1" si="32"/>
        <v>0</v>
      </c>
      <c r="T156">
        <f t="shared" ca="1" si="33"/>
        <v>2.014700000000031</v>
      </c>
      <c r="U156" s="200" t="s">
        <v>264</v>
      </c>
      <c r="V156">
        <f t="shared" ca="1" si="34"/>
        <v>0</v>
      </c>
      <c r="W156">
        <f t="shared" ca="1" si="35"/>
        <v>0</v>
      </c>
      <c r="X156">
        <f t="shared" ca="1" si="36"/>
        <v>0</v>
      </c>
      <c r="AB156">
        <f t="shared" si="27"/>
        <v>150</v>
      </c>
      <c r="AC156" s="189" t="str">
        <f t="shared" ca="1" si="28"/>
        <v/>
      </c>
      <c r="AD156" s="190" t="str">
        <f t="shared" ca="1" si="29"/>
        <v/>
      </c>
      <c r="AE156" s="191" t="str">
        <f t="shared" ca="1" si="25"/>
        <v/>
      </c>
      <c r="AF156" s="191" t="str">
        <f t="shared" ca="1" si="26"/>
        <v/>
      </c>
      <c r="AG156" s="191"/>
      <c r="AH156" s="192">
        <f t="shared" ca="1" si="30"/>
        <v>0</v>
      </c>
      <c r="AI156" s="233" t="str">
        <f t="shared" ca="1" si="31"/>
        <v/>
      </c>
    </row>
    <row r="157" spans="1:35" ht="15">
      <c r="A157" s="73" t="str">
        <f>IF(Calc!AM158&lt;&gt;"",Calc!AM158,"")</f>
        <v/>
      </c>
      <c r="B157" s="74">
        <f>IF(Calc!AN158&lt;&gt;"",Calc!AN158,"")</f>
        <v>0</v>
      </c>
      <c r="C157" s="74" t="str">
        <f ca="1">IF(Calc!AO158&lt;&gt;"",Calc!AO158,"")</f>
        <v/>
      </c>
      <c r="D157" s="75" t="str">
        <f ca="1">IF(Calc!AP158&lt;&gt;"",Calc!AP158,"")</f>
        <v/>
      </c>
      <c r="E157" s="77" t="str">
        <f ca="1">IF(Calc!AQ158&lt;&gt;"",Calc!AQ158,"")</f>
        <v/>
      </c>
      <c r="F157" s="79" t="str">
        <f>Calc!AU158</f>
        <v/>
      </c>
      <c r="G157" s="74">
        <f>Calc!AV158</f>
        <v>0</v>
      </c>
      <c r="H157" s="74" t="str">
        <f ca="1">Calc!AW158</f>
        <v/>
      </c>
      <c r="I157" s="75" t="str">
        <f ca="1">Calc!AX158</f>
        <v/>
      </c>
      <c r="J157" s="76" t="str">
        <f ca="1">Calc!AY158</f>
        <v/>
      </c>
      <c r="S157">
        <f t="shared" ca="1" si="32"/>
        <v>0</v>
      </c>
      <c r="T157">
        <f t="shared" ca="1" si="33"/>
        <v>2.0148000000000312</v>
      </c>
      <c r="U157" s="200" t="s">
        <v>264</v>
      </c>
      <c r="V157">
        <f t="shared" ca="1" si="34"/>
        <v>0</v>
      </c>
      <c r="W157">
        <f t="shared" ca="1" si="35"/>
        <v>0</v>
      </c>
      <c r="X157">
        <f t="shared" ca="1" si="36"/>
        <v>0</v>
      </c>
      <c r="AB157">
        <f t="shared" si="27"/>
        <v>151</v>
      </c>
      <c r="AC157" s="189" t="str">
        <f t="shared" ca="1" si="28"/>
        <v/>
      </c>
      <c r="AD157" s="190" t="str">
        <f t="shared" ca="1" si="29"/>
        <v/>
      </c>
      <c r="AE157" s="191" t="str">
        <f t="shared" ca="1" si="25"/>
        <v/>
      </c>
      <c r="AF157" s="191" t="str">
        <f t="shared" ca="1" si="26"/>
        <v/>
      </c>
      <c r="AG157" s="191"/>
      <c r="AH157" s="192">
        <f t="shared" ca="1" si="30"/>
        <v>0</v>
      </c>
      <c r="AI157" s="233" t="str">
        <f t="shared" ca="1" si="31"/>
        <v/>
      </c>
    </row>
    <row r="158" spans="1:35" ht="15">
      <c r="A158" s="73" t="str">
        <f>IF(Calc!AM159&lt;&gt;"",Calc!AM159,"")</f>
        <v/>
      </c>
      <c r="B158" s="74">
        <f>IF(Calc!AN159&lt;&gt;"",Calc!AN159,"")</f>
        <v>0</v>
      </c>
      <c r="C158" s="74" t="str">
        <f ca="1">IF(Calc!AO159&lt;&gt;"",Calc!AO159,"")</f>
        <v/>
      </c>
      <c r="D158" s="75" t="str">
        <f ca="1">IF(Calc!AP159&lt;&gt;"",Calc!AP159,"")</f>
        <v/>
      </c>
      <c r="E158" s="77" t="str">
        <f ca="1">IF(Calc!AQ159&lt;&gt;"",Calc!AQ159,"")</f>
        <v/>
      </c>
      <c r="F158" s="79" t="str">
        <f>Calc!AU159</f>
        <v/>
      </c>
      <c r="G158" s="74">
        <f>Calc!AV159</f>
        <v>0</v>
      </c>
      <c r="H158" s="74" t="str">
        <f ca="1">Calc!AW159</f>
        <v/>
      </c>
      <c r="I158" s="75" t="str">
        <f ca="1">Calc!AX159</f>
        <v/>
      </c>
      <c r="J158" s="76" t="str">
        <f ca="1">Calc!AY159</f>
        <v/>
      </c>
      <c r="S158">
        <f t="shared" ca="1" si="32"/>
        <v>0</v>
      </c>
      <c r="T158">
        <f t="shared" ca="1" si="33"/>
        <v>2.0149000000000314</v>
      </c>
      <c r="U158" s="200" t="s">
        <v>264</v>
      </c>
      <c r="V158">
        <f t="shared" ca="1" si="34"/>
        <v>0</v>
      </c>
      <c r="W158">
        <f t="shared" ca="1" si="35"/>
        <v>0</v>
      </c>
      <c r="X158">
        <f t="shared" ca="1" si="36"/>
        <v>0</v>
      </c>
      <c r="AB158">
        <f t="shared" si="27"/>
        <v>152</v>
      </c>
      <c r="AC158" s="189" t="str">
        <f t="shared" ca="1" si="28"/>
        <v/>
      </c>
      <c r="AD158" s="190" t="str">
        <f t="shared" ca="1" si="29"/>
        <v/>
      </c>
      <c r="AE158" s="191" t="str">
        <f t="shared" ca="1" si="25"/>
        <v/>
      </c>
      <c r="AF158" s="191" t="str">
        <f t="shared" ca="1" si="26"/>
        <v/>
      </c>
      <c r="AG158" s="191"/>
      <c r="AH158" s="192">
        <f t="shared" ca="1" si="30"/>
        <v>0</v>
      </c>
      <c r="AI158" s="233" t="str">
        <f t="shared" ca="1" si="31"/>
        <v/>
      </c>
    </row>
    <row r="159" spans="1:35" ht="15">
      <c r="A159" s="73" t="str">
        <f>IF(Calc!AM160&lt;&gt;"",Calc!AM160,"")</f>
        <v/>
      </c>
      <c r="B159" s="74">
        <f>IF(Calc!AN160&lt;&gt;"",Calc!AN160,"")</f>
        <v>0</v>
      </c>
      <c r="C159" s="74" t="str">
        <f ca="1">IF(Calc!AO160&lt;&gt;"",Calc!AO160,"")</f>
        <v/>
      </c>
      <c r="D159" s="75" t="str">
        <f ca="1">IF(Calc!AP160&lt;&gt;"",Calc!AP160,"")</f>
        <v/>
      </c>
      <c r="E159" s="77" t="str">
        <f ca="1">IF(Calc!AQ160&lt;&gt;"",Calc!AQ160,"")</f>
        <v/>
      </c>
      <c r="F159" s="79" t="str">
        <f>Calc!AU160</f>
        <v/>
      </c>
      <c r="G159" s="74">
        <f>Calc!AV160</f>
        <v>0</v>
      </c>
      <c r="H159" s="74" t="str">
        <f ca="1">Calc!AW160</f>
        <v/>
      </c>
      <c r="I159" s="75" t="str">
        <f ca="1">Calc!AX160</f>
        <v/>
      </c>
      <c r="J159" s="76" t="str">
        <f ca="1">Calc!AY160</f>
        <v/>
      </c>
      <c r="S159">
        <f t="shared" ca="1" si="32"/>
        <v>0</v>
      </c>
      <c r="T159">
        <f t="shared" ca="1" si="33"/>
        <v>2.0150000000000317</v>
      </c>
      <c r="U159" s="200" t="s">
        <v>264</v>
      </c>
      <c r="V159">
        <f t="shared" ca="1" si="34"/>
        <v>0</v>
      </c>
      <c r="W159">
        <f t="shared" ca="1" si="35"/>
        <v>0</v>
      </c>
      <c r="X159">
        <f t="shared" ca="1" si="36"/>
        <v>0</v>
      </c>
      <c r="AB159">
        <f t="shared" si="27"/>
        <v>153</v>
      </c>
      <c r="AC159" s="189" t="str">
        <f t="shared" ca="1" si="28"/>
        <v/>
      </c>
      <c r="AD159" s="190" t="str">
        <f t="shared" ca="1" si="29"/>
        <v/>
      </c>
      <c r="AE159" s="191" t="str">
        <f t="shared" ca="1" si="25"/>
        <v/>
      </c>
      <c r="AF159" s="191" t="str">
        <f t="shared" ca="1" si="26"/>
        <v/>
      </c>
      <c r="AG159" s="191"/>
      <c r="AH159" s="192">
        <f t="shared" ca="1" si="30"/>
        <v>0</v>
      </c>
      <c r="AI159" s="233" t="str">
        <f t="shared" ca="1" si="31"/>
        <v/>
      </c>
    </row>
    <row r="160" spans="1:35" ht="15">
      <c r="A160" s="73" t="str">
        <f>IF(Calc!AM161&lt;&gt;"",Calc!AM161,"")</f>
        <v/>
      </c>
      <c r="B160" s="74">
        <f>IF(Calc!AN161&lt;&gt;"",Calc!AN161,"")</f>
        <v>0</v>
      </c>
      <c r="C160" s="74" t="str">
        <f ca="1">IF(Calc!AO161&lt;&gt;"",Calc!AO161,"")</f>
        <v/>
      </c>
      <c r="D160" s="75" t="str">
        <f ca="1">IF(Calc!AP161&lt;&gt;"",Calc!AP161,"")</f>
        <v/>
      </c>
      <c r="E160" s="77" t="str">
        <f ca="1">IF(Calc!AQ161&lt;&gt;"",Calc!AQ161,"")</f>
        <v/>
      </c>
      <c r="F160" s="79" t="str">
        <f>Calc!AU161</f>
        <v/>
      </c>
      <c r="G160" s="74">
        <f>Calc!AV161</f>
        <v>0</v>
      </c>
      <c r="H160" s="74" t="str">
        <f ca="1">Calc!AW161</f>
        <v/>
      </c>
      <c r="I160" s="75" t="str">
        <f ca="1">Calc!AX161</f>
        <v/>
      </c>
      <c r="J160" s="76" t="str">
        <f ca="1">Calc!AY161</f>
        <v/>
      </c>
      <c r="S160">
        <f t="shared" ca="1" si="32"/>
        <v>0</v>
      </c>
      <c r="T160">
        <f t="shared" ca="1" si="33"/>
        <v>2.0151000000000319</v>
      </c>
      <c r="U160" s="200" t="s">
        <v>264</v>
      </c>
      <c r="V160">
        <f t="shared" ca="1" si="34"/>
        <v>0</v>
      </c>
      <c r="W160">
        <f t="shared" ca="1" si="35"/>
        <v>0</v>
      </c>
      <c r="X160">
        <f t="shared" ca="1" si="36"/>
        <v>0</v>
      </c>
      <c r="AB160">
        <f t="shared" si="27"/>
        <v>154</v>
      </c>
      <c r="AC160" s="189" t="str">
        <f t="shared" ca="1" si="28"/>
        <v/>
      </c>
      <c r="AD160" s="190" t="str">
        <f t="shared" ca="1" si="29"/>
        <v/>
      </c>
      <c r="AE160" s="191" t="str">
        <f t="shared" ca="1" si="25"/>
        <v/>
      </c>
      <c r="AF160" s="191" t="str">
        <f t="shared" ca="1" si="26"/>
        <v/>
      </c>
      <c r="AG160" s="191"/>
      <c r="AH160" s="192">
        <f t="shared" ca="1" si="30"/>
        <v>0</v>
      </c>
      <c r="AI160" s="233" t="str">
        <f t="shared" ca="1" si="31"/>
        <v/>
      </c>
    </row>
    <row r="161" spans="18:35">
      <c r="R161" t="s">
        <v>222</v>
      </c>
      <c r="S161">
        <f ca="1">IF(OR(G6=0,I6=0),0,1)</f>
        <v>0</v>
      </c>
      <c r="T161">
        <f t="shared" ca="1" si="33"/>
        <v>2.0152000000000321</v>
      </c>
      <c r="U161" s="200" t="s">
        <v>269</v>
      </c>
      <c r="V161">
        <f ca="1">IF(S161&lt;&gt;0,G6,0)</f>
        <v>0</v>
      </c>
      <c r="W161">
        <f ca="1">IF(S161&lt;&gt;0,H6,0)</f>
        <v>0</v>
      </c>
      <c r="X161">
        <f ca="1">IF(S161&lt;&gt;0,I6,0)</f>
        <v>0</v>
      </c>
      <c r="AB161">
        <f t="shared" si="27"/>
        <v>155</v>
      </c>
      <c r="AC161" s="189" t="str">
        <f t="shared" ca="1" si="28"/>
        <v/>
      </c>
      <c r="AD161" s="190" t="str">
        <f t="shared" ca="1" si="29"/>
        <v/>
      </c>
      <c r="AE161" s="191" t="str">
        <f t="shared" ca="1" si="25"/>
        <v/>
      </c>
      <c r="AF161" s="191" t="str">
        <f t="shared" ca="1" si="26"/>
        <v/>
      </c>
      <c r="AG161" s="191"/>
      <c r="AH161" s="192">
        <f t="shared" ca="1" si="30"/>
        <v>0</v>
      </c>
      <c r="AI161" s="233" t="str">
        <f t="shared" ca="1" si="31"/>
        <v/>
      </c>
    </row>
    <row r="162" spans="18:35">
      <c r="S162">
        <f t="shared" ref="S162:S225" ca="1" si="37">IF(OR(G7=0,I7=0),0,1)</f>
        <v>0</v>
      </c>
      <c r="T162">
        <f t="shared" ref="T162:T225" ca="1" si="38">IF(S162=0,T161+0.0001,ROUND(1+T161,0))</f>
        <v>2.0153000000000323</v>
      </c>
      <c r="U162" s="200" t="s">
        <v>269</v>
      </c>
      <c r="V162">
        <f t="shared" ref="V162:V225" ca="1" si="39">IF(S162&lt;&gt;0,G7,0)</f>
        <v>0</v>
      </c>
      <c r="W162">
        <f t="shared" ref="W162:W225" ca="1" si="40">IF(S162&lt;&gt;0,H7,0)</f>
        <v>0</v>
      </c>
      <c r="X162">
        <f t="shared" ref="X162:X225" ca="1" si="41">IF(S162&lt;&gt;0,I7,0)</f>
        <v>0</v>
      </c>
      <c r="AB162">
        <f t="shared" si="27"/>
        <v>156</v>
      </c>
      <c r="AC162" s="189" t="str">
        <f t="shared" ca="1" si="28"/>
        <v/>
      </c>
      <c r="AD162" s="190" t="str">
        <f t="shared" ca="1" si="29"/>
        <v/>
      </c>
      <c r="AE162" s="191" t="str">
        <f t="shared" ca="1" si="25"/>
        <v/>
      </c>
      <c r="AF162" s="191" t="str">
        <f t="shared" ca="1" si="26"/>
        <v/>
      </c>
      <c r="AG162" s="191"/>
      <c r="AH162" s="192">
        <f t="shared" ca="1" si="30"/>
        <v>0</v>
      </c>
      <c r="AI162" s="233" t="str">
        <f t="shared" ca="1" si="31"/>
        <v/>
      </c>
    </row>
    <row r="163" spans="18:35">
      <c r="S163">
        <f t="shared" ca="1" si="37"/>
        <v>0</v>
      </c>
      <c r="T163">
        <f t="shared" ca="1" si="38"/>
        <v>2.0154000000000325</v>
      </c>
      <c r="U163" s="200" t="s">
        <v>269</v>
      </c>
      <c r="V163">
        <f t="shared" ca="1" si="39"/>
        <v>0</v>
      </c>
      <c r="W163">
        <f t="shared" ca="1" si="40"/>
        <v>0</v>
      </c>
      <c r="X163">
        <f t="shared" ca="1" si="41"/>
        <v>0</v>
      </c>
      <c r="AB163">
        <f t="shared" si="27"/>
        <v>157</v>
      </c>
      <c r="AC163" s="189" t="str">
        <f t="shared" ca="1" si="28"/>
        <v/>
      </c>
      <c r="AD163" s="190" t="str">
        <f t="shared" ca="1" si="29"/>
        <v/>
      </c>
      <c r="AE163" s="191" t="str">
        <f t="shared" ca="1" si="25"/>
        <v/>
      </c>
      <c r="AF163" s="191" t="str">
        <f t="shared" ca="1" si="26"/>
        <v/>
      </c>
      <c r="AG163" s="191"/>
      <c r="AH163" s="192">
        <f t="shared" ca="1" si="30"/>
        <v>0</v>
      </c>
      <c r="AI163" s="233" t="str">
        <f t="shared" ca="1" si="31"/>
        <v/>
      </c>
    </row>
    <row r="164" spans="18:35">
      <c r="S164">
        <f t="shared" ca="1" si="37"/>
        <v>0</v>
      </c>
      <c r="T164">
        <f t="shared" ca="1" si="38"/>
        <v>2.0155000000000327</v>
      </c>
      <c r="U164" s="200" t="s">
        <v>269</v>
      </c>
      <c r="V164">
        <f t="shared" ca="1" si="39"/>
        <v>0</v>
      </c>
      <c r="W164">
        <f t="shared" ca="1" si="40"/>
        <v>0</v>
      </c>
      <c r="X164">
        <f t="shared" ca="1" si="41"/>
        <v>0</v>
      </c>
      <c r="AB164">
        <f t="shared" si="27"/>
        <v>158</v>
      </c>
      <c r="AC164" s="189" t="str">
        <f t="shared" ca="1" si="28"/>
        <v/>
      </c>
      <c r="AD164" s="190" t="str">
        <f t="shared" ca="1" si="29"/>
        <v/>
      </c>
      <c r="AE164" s="191" t="str">
        <f t="shared" ca="1" si="25"/>
        <v/>
      </c>
      <c r="AF164" s="191" t="str">
        <f t="shared" ca="1" si="26"/>
        <v/>
      </c>
      <c r="AG164" s="191"/>
      <c r="AH164" s="192">
        <f t="shared" ca="1" si="30"/>
        <v>0</v>
      </c>
      <c r="AI164" s="233" t="str">
        <f t="shared" ca="1" si="31"/>
        <v/>
      </c>
    </row>
    <row r="165" spans="18:35">
      <c r="S165">
        <f t="shared" ca="1" si="37"/>
        <v>0</v>
      </c>
      <c r="T165">
        <f t="shared" ca="1" si="38"/>
        <v>2.0156000000000329</v>
      </c>
      <c r="U165" s="200" t="s">
        <v>269</v>
      </c>
      <c r="V165">
        <f t="shared" ca="1" si="39"/>
        <v>0</v>
      </c>
      <c r="W165">
        <f t="shared" ca="1" si="40"/>
        <v>0</v>
      </c>
      <c r="X165">
        <f t="shared" ca="1" si="41"/>
        <v>0</v>
      </c>
      <c r="AB165">
        <f t="shared" si="27"/>
        <v>159</v>
      </c>
      <c r="AC165" s="189" t="str">
        <f t="shared" ca="1" si="28"/>
        <v/>
      </c>
      <c r="AD165" s="190" t="str">
        <f t="shared" ca="1" si="29"/>
        <v/>
      </c>
      <c r="AE165" s="191" t="str">
        <f t="shared" ca="1" si="25"/>
        <v/>
      </c>
      <c r="AF165" s="191" t="str">
        <f t="shared" ca="1" si="26"/>
        <v/>
      </c>
      <c r="AG165" s="191"/>
      <c r="AH165" s="192">
        <f t="shared" ca="1" si="30"/>
        <v>0</v>
      </c>
      <c r="AI165" s="233" t="str">
        <f t="shared" ca="1" si="31"/>
        <v/>
      </c>
    </row>
    <row r="166" spans="18:35">
      <c r="S166">
        <f t="shared" ca="1" si="37"/>
        <v>0</v>
      </c>
      <c r="T166">
        <f t="shared" ca="1" si="38"/>
        <v>2.0157000000000331</v>
      </c>
      <c r="U166" s="200" t="s">
        <v>269</v>
      </c>
      <c r="V166">
        <f t="shared" ca="1" si="39"/>
        <v>0</v>
      </c>
      <c r="W166">
        <f t="shared" ca="1" si="40"/>
        <v>0</v>
      </c>
      <c r="X166">
        <f t="shared" ca="1" si="41"/>
        <v>0</v>
      </c>
      <c r="AB166">
        <f t="shared" si="27"/>
        <v>160</v>
      </c>
      <c r="AC166" s="189" t="str">
        <f t="shared" ca="1" si="28"/>
        <v/>
      </c>
      <c r="AD166" s="190" t="str">
        <f t="shared" ca="1" si="29"/>
        <v/>
      </c>
      <c r="AE166" s="191" t="str">
        <f t="shared" ca="1" si="25"/>
        <v/>
      </c>
      <c r="AF166" s="191" t="str">
        <f t="shared" ca="1" si="26"/>
        <v/>
      </c>
      <c r="AG166" s="191"/>
      <c r="AH166" s="192">
        <f t="shared" ca="1" si="30"/>
        <v>0</v>
      </c>
      <c r="AI166" s="233" t="str">
        <f t="shared" ca="1" si="31"/>
        <v/>
      </c>
    </row>
    <row r="167" spans="18:35">
      <c r="S167">
        <f t="shared" ca="1" si="37"/>
        <v>0</v>
      </c>
      <c r="T167">
        <f t="shared" ca="1" si="38"/>
        <v>2.0158000000000333</v>
      </c>
      <c r="U167" s="200" t="s">
        <v>269</v>
      </c>
      <c r="V167">
        <f t="shared" ca="1" si="39"/>
        <v>0</v>
      </c>
      <c r="W167">
        <f t="shared" ca="1" si="40"/>
        <v>0</v>
      </c>
      <c r="X167">
        <f t="shared" ca="1" si="41"/>
        <v>0</v>
      </c>
      <c r="AB167">
        <f t="shared" si="27"/>
        <v>161</v>
      </c>
      <c r="AC167" s="189" t="str">
        <f t="shared" ca="1" si="28"/>
        <v/>
      </c>
      <c r="AD167" s="190" t="str">
        <f t="shared" ca="1" si="29"/>
        <v/>
      </c>
      <c r="AE167" s="191" t="str">
        <f t="shared" ca="1" si="25"/>
        <v/>
      </c>
      <c r="AF167" s="191" t="str">
        <f t="shared" ca="1" si="26"/>
        <v/>
      </c>
      <c r="AG167" s="191"/>
      <c r="AH167" s="192">
        <f t="shared" ca="1" si="30"/>
        <v>0</v>
      </c>
      <c r="AI167" s="233" t="str">
        <f t="shared" ca="1" si="31"/>
        <v/>
      </c>
    </row>
    <row r="168" spans="18:35">
      <c r="S168">
        <f t="shared" ca="1" si="37"/>
        <v>0</v>
      </c>
      <c r="T168">
        <f t="shared" ca="1" si="38"/>
        <v>2.0159000000000336</v>
      </c>
      <c r="U168" s="200" t="s">
        <v>269</v>
      </c>
      <c r="V168">
        <f t="shared" ca="1" si="39"/>
        <v>0</v>
      </c>
      <c r="W168">
        <f t="shared" ca="1" si="40"/>
        <v>0</v>
      </c>
      <c r="X168">
        <f t="shared" ca="1" si="41"/>
        <v>0</v>
      </c>
      <c r="AB168">
        <f t="shared" si="27"/>
        <v>162</v>
      </c>
      <c r="AC168" s="189" t="str">
        <f t="shared" ca="1" si="28"/>
        <v/>
      </c>
      <c r="AD168" s="190" t="str">
        <f t="shared" ca="1" si="29"/>
        <v/>
      </c>
      <c r="AE168" s="191" t="str">
        <f t="shared" ca="1" si="25"/>
        <v/>
      </c>
      <c r="AF168" s="191" t="str">
        <f t="shared" ca="1" si="26"/>
        <v/>
      </c>
      <c r="AG168" s="191"/>
      <c r="AH168" s="192">
        <f t="shared" ca="1" si="30"/>
        <v>0</v>
      </c>
      <c r="AI168" s="233" t="str">
        <f t="shared" ca="1" si="31"/>
        <v/>
      </c>
    </row>
    <row r="169" spans="18:35">
      <c r="S169">
        <f t="shared" ca="1" si="37"/>
        <v>0</v>
      </c>
      <c r="T169">
        <f t="shared" ca="1" si="38"/>
        <v>2.0160000000000338</v>
      </c>
      <c r="U169" s="200" t="s">
        <v>269</v>
      </c>
      <c r="V169">
        <f t="shared" ca="1" si="39"/>
        <v>0</v>
      </c>
      <c r="W169">
        <f t="shared" ca="1" si="40"/>
        <v>0</v>
      </c>
      <c r="X169">
        <f t="shared" ca="1" si="41"/>
        <v>0</v>
      </c>
      <c r="AB169">
        <f t="shared" si="27"/>
        <v>163</v>
      </c>
      <c r="AC169" s="189" t="str">
        <f t="shared" ca="1" si="28"/>
        <v/>
      </c>
      <c r="AD169" s="190" t="str">
        <f t="shared" ca="1" si="29"/>
        <v/>
      </c>
      <c r="AE169" s="191" t="str">
        <f t="shared" ca="1" si="25"/>
        <v/>
      </c>
      <c r="AF169" s="191" t="str">
        <f t="shared" ca="1" si="26"/>
        <v/>
      </c>
      <c r="AG169" s="191"/>
      <c r="AH169" s="192">
        <f t="shared" ca="1" si="30"/>
        <v>0</v>
      </c>
      <c r="AI169" s="233" t="str">
        <f t="shared" ca="1" si="31"/>
        <v/>
      </c>
    </row>
    <row r="170" spans="18:35">
      <c r="S170">
        <f t="shared" ca="1" si="37"/>
        <v>0</v>
      </c>
      <c r="T170">
        <f t="shared" ca="1" si="38"/>
        <v>2.016100000000034</v>
      </c>
      <c r="U170" s="200" t="s">
        <v>269</v>
      </c>
      <c r="V170">
        <f t="shared" ca="1" si="39"/>
        <v>0</v>
      </c>
      <c r="W170">
        <f t="shared" ca="1" si="40"/>
        <v>0</v>
      </c>
      <c r="X170">
        <f t="shared" ca="1" si="41"/>
        <v>0</v>
      </c>
      <c r="AB170">
        <f t="shared" si="27"/>
        <v>164</v>
      </c>
      <c r="AC170" s="189" t="str">
        <f t="shared" ca="1" si="28"/>
        <v/>
      </c>
      <c r="AD170" s="190" t="str">
        <f t="shared" ca="1" si="29"/>
        <v/>
      </c>
      <c r="AE170" s="191" t="str">
        <f t="shared" ca="1" si="25"/>
        <v/>
      </c>
      <c r="AF170" s="191" t="str">
        <f t="shared" ca="1" si="26"/>
        <v/>
      </c>
      <c r="AG170" s="191"/>
      <c r="AH170" s="192">
        <f t="shared" ca="1" si="30"/>
        <v>0</v>
      </c>
      <c r="AI170" s="233" t="str">
        <f t="shared" ca="1" si="31"/>
        <v/>
      </c>
    </row>
    <row r="171" spans="18:35">
      <c r="S171">
        <f t="shared" ca="1" si="37"/>
        <v>0</v>
      </c>
      <c r="T171">
        <f t="shared" ca="1" si="38"/>
        <v>2.0162000000000342</v>
      </c>
      <c r="U171" s="200" t="s">
        <v>269</v>
      </c>
      <c r="V171">
        <f t="shared" ca="1" si="39"/>
        <v>0</v>
      </c>
      <c r="W171">
        <f t="shared" ca="1" si="40"/>
        <v>0</v>
      </c>
      <c r="X171">
        <f t="shared" ca="1" si="41"/>
        <v>0</v>
      </c>
      <c r="AB171">
        <f t="shared" si="27"/>
        <v>165</v>
      </c>
      <c r="AC171" s="189" t="str">
        <f t="shared" ca="1" si="28"/>
        <v/>
      </c>
      <c r="AD171" s="190" t="str">
        <f t="shared" ca="1" si="29"/>
        <v/>
      </c>
      <c r="AE171" s="191" t="str">
        <f t="shared" ca="1" si="25"/>
        <v/>
      </c>
      <c r="AF171" s="191" t="str">
        <f t="shared" ca="1" si="26"/>
        <v/>
      </c>
      <c r="AG171" s="191"/>
      <c r="AH171" s="192">
        <f t="shared" ca="1" si="30"/>
        <v>0</v>
      </c>
      <c r="AI171" s="233" t="str">
        <f t="shared" ca="1" si="31"/>
        <v/>
      </c>
    </row>
    <row r="172" spans="18:35">
      <c r="S172">
        <f t="shared" ca="1" si="37"/>
        <v>0</v>
      </c>
      <c r="T172">
        <f t="shared" ca="1" si="38"/>
        <v>2.0163000000000344</v>
      </c>
      <c r="U172" s="200" t="s">
        <v>269</v>
      </c>
      <c r="V172">
        <f t="shared" ca="1" si="39"/>
        <v>0</v>
      </c>
      <c r="W172">
        <f t="shared" ca="1" si="40"/>
        <v>0</v>
      </c>
      <c r="X172">
        <f t="shared" ca="1" si="41"/>
        <v>0</v>
      </c>
      <c r="AB172">
        <f t="shared" si="27"/>
        <v>166</v>
      </c>
      <c r="AC172" s="189" t="str">
        <f t="shared" ca="1" si="28"/>
        <v/>
      </c>
      <c r="AD172" s="190" t="str">
        <f t="shared" ca="1" si="29"/>
        <v/>
      </c>
      <c r="AE172" s="191" t="str">
        <f t="shared" ca="1" si="25"/>
        <v/>
      </c>
      <c r="AF172" s="191" t="str">
        <f t="shared" ca="1" si="26"/>
        <v/>
      </c>
      <c r="AG172" s="191"/>
      <c r="AH172" s="192">
        <f t="shared" ca="1" si="30"/>
        <v>0</v>
      </c>
      <c r="AI172" s="233" t="str">
        <f t="shared" ca="1" si="31"/>
        <v/>
      </c>
    </row>
    <row r="173" spans="18:35">
      <c r="S173">
        <f t="shared" ca="1" si="37"/>
        <v>0</v>
      </c>
      <c r="T173">
        <f t="shared" ca="1" si="38"/>
        <v>2.0164000000000346</v>
      </c>
      <c r="U173" s="200" t="s">
        <v>269</v>
      </c>
      <c r="V173">
        <f t="shared" ca="1" si="39"/>
        <v>0</v>
      </c>
      <c r="W173">
        <f t="shared" ca="1" si="40"/>
        <v>0</v>
      </c>
      <c r="X173">
        <f t="shared" ca="1" si="41"/>
        <v>0</v>
      </c>
      <c r="AB173">
        <f t="shared" si="27"/>
        <v>167</v>
      </c>
      <c r="AC173" s="189" t="str">
        <f t="shared" ca="1" si="28"/>
        <v/>
      </c>
      <c r="AD173" s="190" t="str">
        <f t="shared" ca="1" si="29"/>
        <v/>
      </c>
      <c r="AE173" s="191" t="str">
        <f t="shared" ca="1" si="25"/>
        <v/>
      </c>
      <c r="AF173" s="191" t="str">
        <f t="shared" ca="1" si="26"/>
        <v/>
      </c>
      <c r="AG173" s="191"/>
      <c r="AH173" s="192">
        <f t="shared" ca="1" si="30"/>
        <v>0</v>
      </c>
      <c r="AI173" s="233" t="str">
        <f t="shared" ca="1" si="31"/>
        <v/>
      </c>
    </row>
    <row r="174" spans="18:35">
      <c r="S174">
        <f t="shared" ca="1" si="37"/>
        <v>0</v>
      </c>
      <c r="T174">
        <f t="shared" ca="1" si="38"/>
        <v>2.0165000000000348</v>
      </c>
      <c r="U174" s="200" t="s">
        <v>269</v>
      </c>
      <c r="V174">
        <f t="shared" ca="1" si="39"/>
        <v>0</v>
      </c>
      <c r="W174">
        <f t="shared" ca="1" si="40"/>
        <v>0</v>
      </c>
      <c r="X174">
        <f t="shared" ca="1" si="41"/>
        <v>0</v>
      </c>
      <c r="AB174">
        <f t="shared" si="27"/>
        <v>168</v>
      </c>
      <c r="AC174" s="189" t="str">
        <f t="shared" ca="1" si="28"/>
        <v/>
      </c>
      <c r="AD174" s="190" t="str">
        <f t="shared" ca="1" si="29"/>
        <v/>
      </c>
      <c r="AE174" s="191" t="str">
        <f t="shared" ca="1" si="25"/>
        <v/>
      </c>
      <c r="AF174" s="191" t="str">
        <f t="shared" ca="1" si="26"/>
        <v/>
      </c>
      <c r="AG174" s="191"/>
      <c r="AH174" s="192">
        <f t="shared" ca="1" si="30"/>
        <v>0</v>
      </c>
      <c r="AI174" s="233" t="str">
        <f t="shared" ca="1" si="31"/>
        <v/>
      </c>
    </row>
    <row r="175" spans="18:35">
      <c r="S175">
        <f t="shared" ca="1" si="37"/>
        <v>0</v>
      </c>
      <c r="T175">
        <f t="shared" ca="1" si="38"/>
        <v>2.016600000000035</v>
      </c>
      <c r="U175" s="200" t="s">
        <v>269</v>
      </c>
      <c r="V175">
        <f t="shared" ca="1" si="39"/>
        <v>0</v>
      </c>
      <c r="W175">
        <f t="shared" ca="1" si="40"/>
        <v>0</v>
      </c>
      <c r="X175">
        <f t="shared" ca="1" si="41"/>
        <v>0</v>
      </c>
      <c r="AB175">
        <f t="shared" si="27"/>
        <v>169</v>
      </c>
      <c r="AC175" s="189" t="str">
        <f t="shared" ca="1" si="28"/>
        <v/>
      </c>
      <c r="AD175" s="190" t="str">
        <f t="shared" ca="1" si="29"/>
        <v/>
      </c>
      <c r="AE175" s="191" t="str">
        <f t="shared" ca="1" si="25"/>
        <v/>
      </c>
      <c r="AF175" s="191" t="str">
        <f t="shared" ca="1" si="26"/>
        <v/>
      </c>
      <c r="AG175" s="191"/>
      <c r="AH175" s="192">
        <f t="shared" ca="1" si="30"/>
        <v>0</v>
      </c>
      <c r="AI175" s="233" t="str">
        <f t="shared" ca="1" si="31"/>
        <v/>
      </c>
    </row>
    <row r="176" spans="18:35">
      <c r="S176">
        <f t="shared" ca="1" si="37"/>
        <v>0</v>
      </c>
      <c r="T176">
        <f t="shared" ca="1" si="38"/>
        <v>2.0167000000000352</v>
      </c>
      <c r="U176" s="200" t="s">
        <v>269</v>
      </c>
      <c r="V176">
        <f t="shared" ca="1" si="39"/>
        <v>0</v>
      </c>
      <c r="W176">
        <f t="shared" ca="1" si="40"/>
        <v>0</v>
      </c>
      <c r="X176">
        <f t="shared" ca="1" si="41"/>
        <v>0</v>
      </c>
      <c r="AB176">
        <f t="shared" si="27"/>
        <v>170</v>
      </c>
      <c r="AC176" s="189" t="str">
        <f t="shared" ca="1" si="28"/>
        <v/>
      </c>
      <c r="AD176" s="190" t="str">
        <f t="shared" ca="1" si="29"/>
        <v/>
      </c>
      <c r="AE176" s="191" t="str">
        <f t="shared" ca="1" si="25"/>
        <v/>
      </c>
      <c r="AF176" s="191" t="str">
        <f t="shared" ca="1" si="26"/>
        <v/>
      </c>
      <c r="AG176" s="191"/>
      <c r="AH176" s="192">
        <f t="shared" ca="1" si="30"/>
        <v>0</v>
      </c>
      <c r="AI176" s="233" t="str">
        <f t="shared" ca="1" si="31"/>
        <v/>
      </c>
    </row>
    <row r="177" spans="19:35">
      <c r="S177">
        <f t="shared" ca="1" si="37"/>
        <v>0</v>
      </c>
      <c r="T177">
        <f t="shared" ca="1" si="38"/>
        <v>2.0168000000000355</v>
      </c>
      <c r="U177" s="200" t="s">
        <v>269</v>
      </c>
      <c r="V177">
        <f t="shared" ca="1" si="39"/>
        <v>0</v>
      </c>
      <c r="W177">
        <f t="shared" ca="1" si="40"/>
        <v>0</v>
      </c>
      <c r="X177">
        <f t="shared" ca="1" si="41"/>
        <v>0</v>
      </c>
      <c r="AB177">
        <f t="shared" si="27"/>
        <v>171</v>
      </c>
      <c r="AC177" s="189" t="str">
        <f t="shared" ca="1" si="28"/>
        <v/>
      </c>
      <c r="AD177" s="190" t="str">
        <f t="shared" ca="1" si="29"/>
        <v/>
      </c>
      <c r="AE177" s="191" t="str">
        <f t="shared" ca="1" si="25"/>
        <v/>
      </c>
      <c r="AF177" s="191" t="str">
        <f t="shared" ca="1" si="26"/>
        <v/>
      </c>
      <c r="AG177" s="191"/>
      <c r="AH177" s="192">
        <f t="shared" ca="1" si="30"/>
        <v>0</v>
      </c>
      <c r="AI177" s="233" t="str">
        <f t="shared" ca="1" si="31"/>
        <v/>
      </c>
    </row>
    <row r="178" spans="19:35">
      <c r="S178">
        <f t="shared" ca="1" si="37"/>
        <v>0</v>
      </c>
      <c r="T178">
        <f t="shared" ca="1" si="38"/>
        <v>2.0169000000000357</v>
      </c>
      <c r="U178" s="200" t="s">
        <v>269</v>
      </c>
      <c r="V178">
        <f t="shared" ca="1" si="39"/>
        <v>0</v>
      </c>
      <c r="W178">
        <f t="shared" ca="1" si="40"/>
        <v>0</v>
      </c>
      <c r="X178">
        <f t="shared" ca="1" si="41"/>
        <v>0</v>
      </c>
      <c r="AB178">
        <f t="shared" si="27"/>
        <v>172</v>
      </c>
      <c r="AC178" s="189" t="str">
        <f t="shared" ca="1" si="28"/>
        <v/>
      </c>
      <c r="AD178" s="190" t="str">
        <f t="shared" ca="1" si="29"/>
        <v/>
      </c>
      <c r="AE178" s="191" t="str">
        <f t="shared" ca="1" si="25"/>
        <v/>
      </c>
      <c r="AF178" s="191" t="str">
        <f t="shared" ca="1" si="26"/>
        <v/>
      </c>
      <c r="AG178" s="191"/>
      <c r="AH178" s="192">
        <f t="shared" ca="1" si="30"/>
        <v>0</v>
      </c>
      <c r="AI178" s="233" t="str">
        <f t="shared" ca="1" si="31"/>
        <v/>
      </c>
    </row>
    <row r="179" spans="19:35">
      <c r="S179">
        <f t="shared" ca="1" si="37"/>
        <v>0</v>
      </c>
      <c r="T179">
        <f t="shared" ca="1" si="38"/>
        <v>2.0170000000000359</v>
      </c>
      <c r="U179" s="200" t="s">
        <v>269</v>
      </c>
      <c r="V179">
        <f t="shared" ca="1" si="39"/>
        <v>0</v>
      </c>
      <c r="W179">
        <f t="shared" ca="1" si="40"/>
        <v>0</v>
      </c>
      <c r="X179">
        <f t="shared" ca="1" si="41"/>
        <v>0</v>
      </c>
      <c r="AB179">
        <f t="shared" si="27"/>
        <v>173</v>
      </c>
      <c r="AC179" s="189" t="str">
        <f t="shared" ref="AC179:AC242" ca="1" si="42">IF(AB179&gt;$U$4,"",AC178)</f>
        <v/>
      </c>
      <c r="AD179" s="190" t="str">
        <f t="shared" ref="AD179:AD242" ca="1" si="43">IF(AB179&gt;$U$4,"",AD178)</f>
        <v/>
      </c>
      <c r="AE179" s="191" t="str">
        <f t="shared" ca="1" si="25"/>
        <v/>
      </c>
      <c r="AF179" s="191" t="str">
        <f t="shared" ca="1" si="26"/>
        <v/>
      </c>
      <c r="AG179" s="191"/>
      <c r="AH179" s="192">
        <f t="shared" ref="AH179:AH242" ca="1" si="44">VLOOKUP(AB179,$T$6:$X$325,5)</f>
        <v>0</v>
      </c>
      <c r="AI179" s="233" t="str">
        <f t="shared" ca="1" si="31"/>
        <v/>
      </c>
    </row>
    <row r="180" spans="19:35">
      <c r="S180">
        <f t="shared" ca="1" si="37"/>
        <v>0</v>
      </c>
      <c r="T180">
        <f t="shared" ca="1" si="38"/>
        <v>2.0171000000000361</v>
      </c>
      <c r="U180" s="200" t="s">
        <v>269</v>
      </c>
      <c r="V180">
        <f t="shared" ca="1" si="39"/>
        <v>0</v>
      </c>
      <c r="W180">
        <f t="shared" ca="1" si="40"/>
        <v>0</v>
      </c>
      <c r="X180">
        <f t="shared" ca="1" si="41"/>
        <v>0</v>
      </c>
      <c r="AB180">
        <f t="shared" si="27"/>
        <v>174</v>
      </c>
      <c r="AC180" s="189" t="str">
        <f t="shared" ca="1" si="42"/>
        <v/>
      </c>
      <c r="AD180" s="190" t="str">
        <f t="shared" ca="1" si="43"/>
        <v/>
      </c>
      <c r="AE180" s="191" t="str">
        <f t="shared" ca="1" si="25"/>
        <v/>
      </c>
      <c r="AF180" s="191" t="str">
        <f t="shared" ca="1" si="26"/>
        <v/>
      </c>
      <c r="AG180" s="191"/>
      <c r="AH180" s="192">
        <f t="shared" ca="1" si="44"/>
        <v>0</v>
      </c>
      <c r="AI180" s="233" t="str">
        <f t="shared" ca="1" si="31"/>
        <v/>
      </c>
    </row>
    <row r="181" spans="19:35">
      <c r="S181">
        <f t="shared" ca="1" si="37"/>
        <v>0</v>
      </c>
      <c r="T181">
        <f t="shared" ca="1" si="38"/>
        <v>2.0172000000000363</v>
      </c>
      <c r="U181" s="200" t="s">
        <v>269</v>
      </c>
      <c r="V181">
        <f t="shared" ca="1" si="39"/>
        <v>0</v>
      </c>
      <c r="W181">
        <f t="shared" ca="1" si="40"/>
        <v>0</v>
      </c>
      <c r="X181">
        <f t="shared" ca="1" si="41"/>
        <v>0</v>
      </c>
      <c r="AB181">
        <f t="shared" si="27"/>
        <v>175</v>
      </c>
      <c r="AC181" s="189" t="str">
        <f t="shared" ca="1" si="42"/>
        <v/>
      </c>
      <c r="AD181" s="190" t="str">
        <f t="shared" ca="1" si="43"/>
        <v/>
      </c>
      <c r="AE181" s="191" t="str">
        <f t="shared" ca="1" si="25"/>
        <v/>
      </c>
      <c r="AF181" s="191" t="str">
        <f t="shared" ca="1" si="26"/>
        <v/>
      </c>
      <c r="AG181" s="191"/>
      <c r="AH181" s="192">
        <f t="shared" ca="1" si="44"/>
        <v>0</v>
      </c>
      <c r="AI181" s="233" t="str">
        <f t="shared" ca="1" si="31"/>
        <v/>
      </c>
    </row>
    <row r="182" spans="19:35">
      <c r="S182">
        <f t="shared" ca="1" si="37"/>
        <v>0</v>
      </c>
      <c r="T182">
        <f t="shared" ca="1" si="38"/>
        <v>2.0173000000000365</v>
      </c>
      <c r="U182" s="200" t="s">
        <v>269</v>
      </c>
      <c r="V182">
        <f t="shared" ca="1" si="39"/>
        <v>0</v>
      </c>
      <c r="W182">
        <f t="shared" ca="1" si="40"/>
        <v>0</v>
      </c>
      <c r="X182">
        <f t="shared" ca="1" si="41"/>
        <v>0</v>
      </c>
      <c r="AB182">
        <f t="shared" si="27"/>
        <v>176</v>
      </c>
      <c r="AC182" s="189" t="str">
        <f t="shared" ca="1" si="42"/>
        <v/>
      </c>
      <c r="AD182" s="190" t="str">
        <f t="shared" ca="1" si="43"/>
        <v/>
      </c>
      <c r="AE182" s="191" t="str">
        <f t="shared" ca="1" si="25"/>
        <v/>
      </c>
      <c r="AF182" s="191" t="str">
        <f t="shared" ca="1" si="26"/>
        <v/>
      </c>
      <c r="AG182" s="191"/>
      <c r="AH182" s="192">
        <f t="shared" ca="1" si="44"/>
        <v>0</v>
      </c>
      <c r="AI182" s="233" t="str">
        <f t="shared" ca="1" si="31"/>
        <v/>
      </c>
    </row>
    <row r="183" spans="19:35">
      <c r="S183">
        <f t="shared" ca="1" si="37"/>
        <v>0</v>
      </c>
      <c r="T183">
        <f t="shared" ca="1" si="38"/>
        <v>2.0174000000000367</v>
      </c>
      <c r="U183" s="200" t="s">
        <v>269</v>
      </c>
      <c r="V183">
        <f t="shared" ca="1" si="39"/>
        <v>0</v>
      </c>
      <c r="W183">
        <f t="shared" ca="1" si="40"/>
        <v>0</v>
      </c>
      <c r="X183">
        <f t="shared" ca="1" si="41"/>
        <v>0</v>
      </c>
      <c r="AB183">
        <f t="shared" si="27"/>
        <v>177</v>
      </c>
      <c r="AC183" s="189" t="str">
        <f t="shared" ca="1" si="42"/>
        <v/>
      </c>
      <c r="AD183" s="190" t="str">
        <f t="shared" ca="1" si="43"/>
        <v/>
      </c>
      <c r="AE183" s="191" t="str">
        <f t="shared" ca="1" si="25"/>
        <v/>
      </c>
      <c r="AF183" s="191" t="str">
        <f t="shared" ca="1" si="26"/>
        <v/>
      </c>
      <c r="AG183" s="191"/>
      <c r="AH183" s="192">
        <f t="shared" ca="1" si="44"/>
        <v>0</v>
      </c>
      <c r="AI183" s="233" t="str">
        <f t="shared" ca="1" si="31"/>
        <v/>
      </c>
    </row>
    <row r="184" spans="19:35">
      <c r="S184">
        <f t="shared" ca="1" si="37"/>
        <v>0</v>
      </c>
      <c r="T184">
        <f t="shared" ca="1" si="38"/>
        <v>2.0175000000000369</v>
      </c>
      <c r="U184" s="200" t="s">
        <v>269</v>
      </c>
      <c r="V184">
        <f t="shared" ca="1" si="39"/>
        <v>0</v>
      </c>
      <c r="W184">
        <f t="shared" ca="1" si="40"/>
        <v>0</v>
      </c>
      <c r="X184">
        <f t="shared" ca="1" si="41"/>
        <v>0</v>
      </c>
      <c r="AB184">
        <f t="shared" si="27"/>
        <v>178</v>
      </c>
      <c r="AC184" s="189" t="str">
        <f t="shared" ca="1" si="42"/>
        <v/>
      </c>
      <c r="AD184" s="190" t="str">
        <f t="shared" ca="1" si="43"/>
        <v/>
      </c>
      <c r="AE184" s="191" t="str">
        <f t="shared" ca="1" si="25"/>
        <v/>
      </c>
      <c r="AF184" s="191" t="str">
        <f t="shared" ca="1" si="26"/>
        <v/>
      </c>
      <c r="AG184" s="191"/>
      <c r="AH184" s="192">
        <f t="shared" ca="1" si="44"/>
        <v>0</v>
      </c>
      <c r="AI184" s="233" t="str">
        <f t="shared" ca="1" si="31"/>
        <v/>
      </c>
    </row>
    <row r="185" spans="19:35">
      <c r="S185">
        <f t="shared" ca="1" si="37"/>
        <v>0</v>
      </c>
      <c r="T185">
        <f t="shared" ca="1" si="38"/>
        <v>2.0176000000000371</v>
      </c>
      <c r="U185" s="200" t="s">
        <v>269</v>
      </c>
      <c r="V185">
        <f t="shared" ca="1" si="39"/>
        <v>0</v>
      </c>
      <c r="W185">
        <f t="shared" ca="1" si="40"/>
        <v>0</v>
      </c>
      <c r="X185">
        <f t="shared" ca="1" si="41"/>
        <v>0</v>
      </c>
      <c r="AB185">
        <f t="shared" si="27"/>
        <v>179</v>
      </c>
      <c r="AC185" s="189" t="str">
        <f t="shared" ca="1" si="42"/>
        <v/>
      </c>
      <c r="AD185" s="190" t="str">
        <f t="shared" ca="1" si="43"/>
        <v/>
      </c>
      <c r="AE185" s="191" t="str">
        <f t="shared" ca="1" si="25"/>
        <v/>
      </c>
      <c r="AF185" s="191" t="str">
        <f t="shared" ca="1" si="26"/>
        <v/>
      </c>
      <c r="AG185" s="191"/>
      <c r="AH185" s="192">
        <f t="shared" ca="1" si="44"/>
        <v>0</v>
      </c>
      <c r="AI185" s="233" t="str">
        <f t="shared" ca="1" si="31"/>
        <v/>
      </c>
    </row>
    <row r="186" spans="19:35">
      <c r="S186">
        <f t="shared" ca="1" si="37"/>
        <v>0</v>
      </c>
      <c r="T186">
        <f t="shared" ca="1" si="38"/>
        <v>2.0177000000000374</v>
      </c>
      <c r="U186" s="200" t="s">
        <v>269</v>
      </c>
      <c r="V186">
        <f t="shared" ca="1" si="39"/>
        <v>0</v>
      </c>
      <c r="W186">
        <f t="shared" ca="1" si="40"/>
        <v>0</v>
      </c>
      <c r="X186">
        <f t="shared" ca="1" si="41"/>
        <v>0</v>
      </c>
      <c r="AB186">
        <f t="shared" si="27"/>
        <v>180</v>
      </c>
      <c r="AC186" s="189" t="str">
        <f t="shared" ca="1" si="42"/>
        <v/>
      </c>
      <c r="AD186" s="190" t="str">
        <f t="shared" ca="1" si="43"/>
        <v/>
      </c>
      <c r="AE186" s="191" t="str">
        <f t="shared" ca="1" si="25"/>
        <v/>
      </c>
      <c r="AF186" s="191" t="str">
        <f t="shared" ca="1" si="26"/>
        <v/>
      </c>
      <c r="AG186" s="191"/>
      <c r="AH186" s="192">
        <f t="shared" ca="1" si="44"/>
        <v>0</v>
      </c>
      <c r="AI186" s="233" t="str">
        <f t="shared" ca="1" si="31"/>
        <v/>
      </c>
    </row>
    <row r="187" spans="19:35">
      <c r="S187">
        <f t="shared" ca="1" si="37"/>
        <v>0</v>
      </c>
      <c r="T187">
        <f t="shared" ca="1" si="38"/>
        <v>2.0178000000000376</v>
      </c>
      <c r="U187" s="200" t="s">
        <v>269</v>
      </c>
      <c r="V187">
        <f t="shared" ca="1" si="39"/>
        <v>0</v>
      </c>
      <c r="W187">
        <f t="shared" ca="1" si="40"/>
        <v>0</v>
      </c>
      <c r="X187">
        <f t="shared" ca="1" si="41"/>
        <v>0</v>
      </c>
      <c r="AB187">
        <f t="shared" si="27"/>
        <v>181</v>
      </c>
      <c r="AC187" s="189" t="str">
        <f t="shared" ca="1" si="42"/>
        <v/>
      </c>
      <c r="AD187" s="190" t="str">
        <f t="shared" ca="1" si="43"/>
        <v/>
      </c>
      <c r="AE187" s="191" t="str">
        <f t="shared" ca="1" si="25"/>
        <v/>
      </c>
      <c r="AF187" s="191" t="str">
        <f t="shared" ca="1" si="26"/>
        <v/>
      </c>
      <c r="AG187" s="191"/>
      <c r="AH187" s="192">
        <f t="shared" ca="1" si="44"/>
        <v>0</v>
      </c>
      <c r="AI187" s="233" t="str">
        <f t="shared" ca="1" si="31"/>
        <v/>
      </c>
    </row>
    <row r="188" spans="19:35">
      <c r="S188">
        <f t="shared" ca="1" si="37"/>
        <v>0</v>
      </c>
      <c r="T188">
        <f t="shared" ca="1" si="38"/>
        <v>2.0179000000000378</v>
      </c>
      <c r="U188" s="200" t="s">
        <v>269</v>
      </c>
      <c r="V188">
        <f t="shared" ca="1" si="39"/>
        <v>0</v>
      </c>
      <c r="W188">
        <f t="shared" ca="1" si="40"/>
        <v>0</v>
      </c>
      <c r="X188">
        <f t="shared" ca="1" si="41"/>
        <v>0</v>
      </c>
      <c r="AB188">
        <f t="shared" si="27"/>
        <v>182</v>
      </c>
      <c r="AC188" s="189" t="str">
        <f t="shared" ca="1" si="42"/>
        <v/>
      </c>
      <c r="AD188" s="190" t="str">
        <f t="shared" ca="1" si="43"/>
        <v/>
      </c>
      <c r="AE188" s="191" t="str">
        <f t="shared" ca="1" si="25"/>
        <v/>
      </c>
      <c r="AF188" s="191" t="str">
        <f t="shared" ca="1" si="26"/>
        <v/>
      </c>
      <c r="AG188" s="191"/>
      <c r="AH188" s="192">
        <f t="shared" ca="1" si="44"/>
        <v>0</v>
      </c>
      <c r="AI188" s="233" t="str">
        <f t="shared" ca="1" si="31"/>
        <v/>
      </c>
    </row>
    <row r="189" spans="19:35">
      <c r="S189">
        <f t="shared" ca="1" si="37"/>
        <v>0</v>
      </c>
      <c r="T189">
        <f t="shared" ca="1" si="38"/>
        <v>2.018000000000038</v>
      </c>
      <c r="U189" s="200" t="s">
        <v>269</v>
      </c>
      <c r="V189">
        <f t="shared" ca="1" si="39"/>
        <v>0</v>
      </c>
      <c r="W189">
        <f t="shared" ca="1" si="40"/>
        <v>0</v>
      </c>
      <c r="X189">
        <f t="shared" ca="1" si="41"/>
        <v>0</v>
      </c>
      <c r="AB189">
        <f t="shared" si="27"/>
        <v>183</v>
      </c>
      <c r="AC189" s="189" t="str">
        <f t="shared" ca="1" si="42"/>
        <v/>
      </c>
      <c r="AD189" s="190" t="str">
        <f t="shared" ca="1" si="43"/>
        <v/>
      </c>
      <c r="AE189" s="191" t="str">
        <f t="shared" ca="1" si="25"/>
        <v/>
      </c>
      <c r="AF189" s="191" t="str">
        <f t="shared" ca="1" si="26"/>
        <v/>
      </c>
      <c r="AG189" s="191"/>
      <c r="AH189" s="192">
        <f t="shared" ca="1" si="44"/>
        <v>0</v>
      </c>
      <c r="AI189" s="233" t="str">
        <f t="shared" ca="1" si="31"/>
        <v/>
      </c>
    </row>
    <row r="190" spans="19:35">
      <c r="S190">
        <f t="shared" ca="1" si="37"/>
        <v>0</v>
      </c>
      <c r="T190">
        <f t="shared" ca="1" si="38"/>
        <v>2.0181000000000382</v>
      </c>
      <c r="U190" s="200" t="s">
        <v>269</v>
      </c>
      <c r="V190">
        <f t="shared" ca="1" si="39"/>
        <v>0</v>
      </c>
      <c r="W190">
        <f t="shared" ca="1" si="40"/>
        <v>0</v>
      </c>
      <c r="X190">
        <f t="shared" ca="1" si="41"/>
        <v>0</v>
      </c>
      <c r="AB190">
        <f t="shared" si="27"/>
        <v>184</v>
      </c>
      <c r="AC190" s="189" t="str">
        <f t="shared" ca="1" si="42"/>
        <v/>
      </c>
      <c r="AD190" s="190" t="str">
        <f t="shared" ca="1" si="43"/>
        <v/>
      </c>
      <c r="AE190" s="191" t="str">
        <f t="shared" ca="1" si="25"/>
        <v/>
      </c>
      <c r="AF190" s="191" t="str">
        <f t="shared" ca="1" si="26"/>
        <v/>
      </c>
      <c r="AG190" s="191"/>
      <c r="AH190" s="192">
        <f t="shared" ca="1" si="44"/>
        <v>0</v>
      </c>
      <c r="AI190" s="233" t="str">
        <f t="shared" ca="1" si="31"/>
        <v/>
      </c>
    </row>
    <row r="191" spans="19:35">
      <c r="S191">
        <f t="shared" ca="1" si="37"/>
        <v>0</v>
      </c>
      <c r="T191">
        <f t="shared" ca="1" si="38"/>
        <v>2.0182000000000384</v>
      </c>
      <c r="U191" s="200" t="s">
        <v>269</v>
      </c>
      <c r="V191">
        <f t="shared" ca="1" si="39"/>
        <v>0</v>
      </c>
      <c r="W191">
        <f t="shared" ca="1" si="40"/>
        <v>0</v>
      </c>
      <c r="X191">
        <f t="shared" ca="1" si="41"/>
        <v>0</v>
      </c>
      <c r="AB191">
        <f t="shared" si="27"/>
        <v>185</v>
      </c>
      <c r="AC191" s="189" t="str">
        <f t="shared" ca="1" si="42"/>
        <v/>
      </c>
      <c r="AD191" s="190" t="str">
        <f t="shared" ca="1" si="43"/>
        <v/>
      </c>
      <c r="AE191" s="191" t="str">
        <f t="shared" ca="1" si="25"/>
        <v/>
      </c>
      <c r="AF191" s="191" t="str">
        <f t="shared" ca="1" si="26"/>
        <v/>
      </c>
      <c r="AG191" s="191"/>
      <c r="AH191" s="192">
        <f t="shared" ca="1" si="44"/>
        <v>0</v>
      </c>
      <c r="AI191" s="233" t="str">
        <f t="shared" ca="1" si="31"/>
        <v/>
      </c>
    </row>
    <row r="192" spans="19:35">
      <c r="S192">
        <f t="shared" ca="1" si="37"/>
        <v>0</v>
      </c>
      <c r="T192">
        <f t="shared" ca="1" si="38"/>
        <v>2.0183000000000386</v>
      </c>
      <c r="U192" s="200" t="s">
        <v>269</v>
      </c>
      <c r="V192">
        <f t="shared" ca="1" si="39"/>
        <v>0</v>
      </c>
      <c r="W192">
        <f t="shared" ca="1" si="40"/>
        <v>0</v>
      </c>
      <c r="X192">
        <f t="shared" ca="1" si="41"/>
        <v>0</v>
      </c>
      <c r="AB192">
        <f t="shared" si="27"/>
        <v>186</v>
      </c>
      <c r="AC192" s="189" t="str">
        <f t="shared" ca="1" si="42"/>
        <v/>
      </c>
      <c r="AD192" s="190" t="str">
        <f t="shared" ca="1" si="43"/>
        <v/>
      </c>
      <c r="AE192" s="191" t="str">
        <f t="shared" ca="1" si="25"/>
        <v/>
      </c>
      <c r="AF192" s="191" t="str">
        <f t="shared" ca="1" si="26"/>
        <v/>
      </c>
      <c r="AG192" s="191"/>
      <c r="AH192" s="192">
        <f t="shared" ca="1" si="44"/>
        <v>0</v>
      </c>
      <c r="AI192" s="233" t="str">
        <f t="shared" ca="1" si="31"/>
        <v/>
      </c>
    </row>
    <row r="193" spans="19:35">
      <c r="S193">
        <f t="shared" ca="1" si="37"/>
        <v>0</v>
      </c>
      <c r="T193">
        <f t="shared" ca="1" si="38"/>
        <v>2.0184000000000388</v>
      </c>
      <c r="U193" s="200" t="s">
        <v>269</v>
      </c>
      <c r="V193">
        <f t="shared" ca="1" si="39"/>
        <v>0</v>
      </c>
      <c r="W193">
        <f t="shared" ca="1" si="40"/>
        <v>0</v>
      </c>
      <c r="X193">
        <f t="shared" ca="1" si="41"/>
        <v>0</v>
      </c>
      <c r="AB193">
        <f t="shared" si="27"/>
        <v>187</v>
      </c>
      <c r="AC193" s="189" t="str">
        <f t="shared" ca="1" si="42"/>
        <v/>
      </c>
      <c r="AD193" s="190" t="str">
        <f t="shared" ca="1" si="43"/>
        <v/>
      </c>
      <c r="AE193" s="191" t="str">
        <f t="shared" ca="1" si="25"/>
        <v/>
      </c>
      <c r="AF193" s="191" t="str">
        <f t="shared" ca="1" si="26"/>
        <v/>
      </c>
      <c r="AG193" s="191"/>
      <c r="AH193" s="192">
        <f t="shared" ca="1" si="44"/>
        <v>0</v>
      </c>
      <c r="AI193" s="233" t="str">
        <f t="shared" ca="1" si="31"/>
        <v/>
      </c>
    </row>
    <row r="194" spans="19:35">
      <c r="S194">
        <f t="shared" ca="1" si="37"/>
        <v>0</v>
      </c>
      <c r="T194">
        <f t="shared" ca="1" si="38"/>
        <v>2.018500000000039</v>
      </c>
      <c r="U194" s="200" t="s">
        <v>269</v>
      </c>
      <c r="V194">
        <f t="shared" ca="1" si="39"/>
        <v>0</v>
      </c>
      <c r="W194">
        <f t="shared" ca="1" si="40"/>
        <v>0</v>
      </c>
      <c r="X194">
        <f t="shared" ca="1" si="41"/>
        <v>0</v>
      </c>
      <c r="AB194">
        <f t="shared" si="27"/>
        <v>188</v>
      </c>
      <c r="AC194" s="189" t="str">
        <f t="shared" ca="1" si="42"/>
        <v/>
      </c>
      <c r="AD194" s="190" t="str">
        <f t="shared" ca="1" si="43"/>
        <v/>
      </c>
      <c r="AE194" s="191" t="str">
        <f t="shared" ca="1" si="25"/>
        <v/>
      </c>
      <c r="AF194" s="191" t="str">
        <f t="shared" ca="1" si="26"/>
        <v/>
      </c>
      <c r="AG194" s="191"/>
      <c r="AH194" s="192">
        <f t="shared" ca="1" si="44"/>
        <v>0</v>
      </c>
      <c r="AI194" s="233" t="str">
        <f t="shared" ca="1" si="31"/>
        <v/>
      </c>
    </row>
    <row r="195" spans="19:35">
      <c r="S195">
        <f t="shared" ca="1" si="37"/>
        <v>0</v>
      </c>
      <c r="T195">
        <f t="shared" ca="1" si="38"/>
        <v>2.0186000000000393</v>
      </c>
      <c r="U195" s="200" t="s">
        <v>269</v>
      </c>
      <c r="V195">
        <f t="shared" ca="1" si="39"/>
        <v>0</v>
      </c>
      <c r="W195">
        <f t="shared" ca="1" si="40"/>
        <v>0</v>
      </c>
      <c r="X195">
        <f t="shared" ca="1" si="41"/>
        <v>0</v>
      </c>
      <c r="AB195">
        <f t="shared" si="27"/>
        <v>189</v>
      </c>
      <c r="AC195" s="189" t="str">
        <f t="shared" ca="1" si="42"/>
        <v/>
      </c>
      <c r="AD195" s="190" t="str">
        <f t="shared" ca="1" si="43"/>
        <v/>
      </c>
      <c r="AE195" s="191" t="str">
        <f t="shared" ca="1" si="25"/>
        <v/>
      </c>
      <c r="AF195" s="191" t="str">
        <f t="shared" ca="1" si="26"/>
        <v/>
      </c>
      <c r="AG195" s="191"/>
      <c r="AH195" s="192">
        <f t="shared" ca="1" si="44"/>
        <v>0</v>
      </c>
      <c r="AI195" s="233" t="str">
        <f t="shared" ca="1" si="31"/>
        <v/>
      </c>
    </row>
    <row r="196" spans="19:35">
      <c r="S196">
        <f t="shared" ca="1" si="37"/>
        <v>0</v>
      </c>
      <c r="T196">
        <f t="shared" ca="1" si="38"/>
        <v>2.0187000000000395</v>
      </c>
      <c r="U196" s="200" t="s">
        <v>269</v>
      </c>
      <c r="V196">
        <f t="shared" ca="1" si="39"/>
        <v>0</v>
      </c>
      <c r="W196">
        <f t="shared" ca="1" si="40"/>
        <v>0</v>
      </c>
      <c r="X196">
        <f t="shared" ca="1" si="41"/>
        <v>0</v>
      </c>
      <c r="AB196">
        <f t="shared" si="27"/>
        <v>190</v>
      </c>
      <c r="AC196" s="189" t="str">
        <f t="shared" ca="1" si="42"/>
        <v/>
      </c>
      <c r="AD196" s="190" t="str">
        <f t="shared" ca="1" si="43"/>
        <v/>
      </c>
      <c r="AE196" s="191" t="str">
        <f t="shared" ca="1" si="25"/>
        <v/>
      </c>
      <c r="AF196" s="191" t="str">
        <f t="shared" ca="1" si="26"/>
        <v/>
      </c>
      <c r="AG196" s="191"/>
      <c r="AH196" s="192">
        <f t="shared" ca="1" si="44"/>
        <v>0</v>
      </c>
      <c r="AI196" s="233" t="str">
        <f t="shared" ca="1" si="31"/>
        <v/>
      </c>
    </row>
    <row r="197" spans="19:35">
      <c r="S197">
        <f t="shared" ca="1" si="37"/>
        <v>0</v>
      </c>
      <c r="T197">
        <f t="shared" ca="1" si="38"/>
        <v>2.0188000000000397</v>
      </c>
      <c r="U197" s="200" t="s">
        <v>269</v>
      </c>
      <c r="V197">
        <f t="shared" ca="1" si="39"/>
        <v>0</v>
      </c>
      <c r="W197">
        <f t="shared" ca="1" si="40"/>
        <v>0</v>
      </c>
      <c r="X197">
        <f t="shared" ca="1" si="41"/>
        <v>0</v>
      </c>
      <c r="AB197">
        <f t="shared" si="27"/>
        <v>191</v>
      </c>
      <c r="AC197" s="189" t="str">
        <f t="shared" ca="1" si="42"/>
        <v/>
      </c>
      <c r="AD197" s="190" t="str">
        <f t="shared" ca="1" si="43"/>
        <v/>
      </c>
      <c r="AE197" s="191" t="str">
        <f t="shared" ca="1" si="25"/>
        <v/>
      </c>
      <c r="AF197" s="191" t="str">
        <f t="shared" ca="1" si="26"/>
        <v/>
      </c>
      <c r="AG197" s="191"/>
      <c r="AH197" s="192">
        <f t="shared" ca="1" si="44"/>
        <v>0</v>
      </c>
      <c r="AI197" s="233" t="str">
        <f t="shared" ca="1" si="31"/>
        <v/>
      </c>
    </row>
    <row r="198" spans="19:35">
      <c r="S198">
        <f t="shared" ca="1" si="37"/>
        <v>0</v>
      </c>
      <c r="T198">
        <f t="shared" ca="1" si="38"/>
        <v>2.0189000000000399</v>
      </c>
      <c r="U198" s="200" t="s">
        <v>269</v>
      </c>
      <c r="V198">
        <f t="shared" ca="1" si="39"/>
        <v>0</v>
      </c>
      <c r="W198">
        <f t="shared" ca="1" si="40"/>
        <v>0</v>
      </c>
      <c r="X198">
        <f t="shared" ca="1" si="41"/>
        <v>0</v>
      </c>
      <c r="AB198">
        <f t="shared" si="27"/>
        <v>192</v>
      </c>
      <c r="AC198" s="189" t="str">
        <f t="shared" ca="1" si="42"/>
        <v/>
      </c>
      <c r="AD198" s="190" t="str">
        <f t="shared" ca="1" si="43"/>
        <v/>
      </c>
      <c r="AE198" s="191" t="str">
        <f t="shared" ca="1" si="25"/>
        <v/>
      </c>
      <c r="AF198" s="191" t="str">
        <f t="shared" ca="1" si="26"/>
        <v/>
      </c>
      <c r="AG198" s="191"/>
      <c r="AH198" s="192">
        <f t="shared" ca="1" si="44"/>
        <v>0</v>
      </c>
      <c r="AI198" s="233" t="str">
        <f t="shared" ca="1" si="31"/>
        <v/>
      </c>
    </row>
    <row r="199" spans="19:35">
      <c r="S199">
        <f t="shared" ca="1" si="37"/>
        <v>0</v>
      </c>
      <c r="T199">
        <f t="shared" ca="1" si="38"/>
        <v>2.0190000000000401</v>
      </c>
      <c r="U199" s="200" t="s">
        <v>269</v>
      </c>
      <c r="V199">
        <f t="shared" ca="1" si="39"/>
        <v>0</v>
      </c>
      <c r="W199">
        <f t="shared" ca="1" si="40"/>
        <v>0</v>
      </c>
      <c r="X199">
        <f t="shared" ca="1" si="41"/>
        <v>0</v>
      </c>
      <c r="AB199">
        <f t="shared" si="27"/>
        <v>193</v>
      </c>
      <c r="AC199" s="189" t="str">
        <f t="shared" ca="1" si="42"/>
        <v/>
      </c>
      <c r="AD199" s="190" t="str">
        <f t="shared" ca="1" si="43"/>
        <v/>
      </c>
      <c r="AE199" s="191" t="str">
        <f t="shared" ref="AE199:AE266" ca="1" si="45">IF(AB199&gt;$U$4,"",IF(VLOOKUP(AB199,$T$6:$U$325,2)="a",VLOOKUP(AB199,$T$6:$V$325,3),$AE$2))</f>
        <v/>
      </c>
      <c r="AF199" s="191" t="str">
        <f t="shared" ref="AF199:AF266" ca="1" si="46">IF(AB199&gt;$U$4,"",IF(VLOOKUP(AB199,$T$6:$U$325,2)="p",VLOOKUP(AB199,$T$6:$V$325,3),$AE$2))</f>
        <v/>
      </c>
      <c r="AG199" s="191"/>
      <c r="AH199" s="192">
        <f t="shared" ca="1" si="44"/>
        <v>0</v>
      </c>
      <c r="AI199" s="233" t="str">
        <f t="shared" ca="1" si="31"/>
        <v/>
      </c>
    </row>
    <row r="200" spans="19:35">
      <c r="S200">
        <f t="shared" ca="1" si="37"/>
        <v>0</v>
      </c>
      <c r="T200">
        <f t="shared" ca="1" si="38"/>
        <v>2.0191000000000403</v>
      </c>
      <c r="U200" s="200" t="s">
        <v>269</v>
      </c>
      <c r="V200">
        <f t="shared" ca="1" si="39"/>
        <v>0</v>
      </c>
      <c r="W200">
        <f t="shared" ca="1" si="40"/>
        <v>0</v>
      </c>
      <c r="X200">
        <f t="shared" ca="1" si="41"/>
        <v>0</v>
      </c>
      <c r="AB200">
        <f t="shared" ref="AB200:AB263" si="47">AB199+1</f>
        <v>194</v>
      </c>
      <c r="AC200" s="189" t="str">
        <f t="shared" ca="1" si="42"/>
        <v/>
      </c>
      <c r="AD200" s="190" t="str">
        <f t="shared" ca="1" si="43"/>
        <v/>
      </c>
      <c r="AE200" s="191" t="str">
        <f t="shared" ca="1" si="45"/>
        <v/>
      </c>
      <c r="AF200" s="191" t="str">
        <f t="shared" ca="1" si="46"/>
        <v/>
      </c>
      <c r="AG200" s="191"/>
      <c r="AH200" s="192">
        <f t="shared" ca="1" si="44"/>
        <v>0</v>
      </c>
      <c r="AI200" s="233" t="str">
        <f t="shared" ref="AI200:AI263" ca="1" si="48">IF(AB200&gt;$U$4,"",CONCATENATE("Eröffnung: ",VLOOKUP(AB200,$T$6:$X$325,4)))</f>
        <v/>
      </c>
    </row>
    <row r="201" spans="19:35">
      <c r="S201">
        <f t="shared" ca="1" si="37"/>
        <v>0</v>
      </c>
      <c r="T201">
        <f t="shared" ca="1" si="38"/>
        <v>2.0192000000000405</v>
      </c>
      <c r="U201" s="200" t="s">
        <v>269</v>
      </c>
      <c r="V201">
        <f t="shared" ca="1" si="39"/>
        <v>0</v>
      </c>
      <c r="W201">
        <f t="shared" ca="1" si="40"/>
        <v>0</v>
      </c>
      <c r="X201">
        <f t="shared" ca="1" si="41"/>
        <v>0</v>
      </c>
      <c r="AB201">
        <f t="shared" si="47"/>
        <v>195</v>
      </c>
      <c r="AC201" s="189" t="str">
        <f t="shared" ca="1" si="42"/>
        <v/>
      </c>
      <c r="AD201" s="190" t="str">
        <f t="shared" ca="1" si="43"/>
        <v/>
      </c>
      <c r="AE201" s="191" t="str">
        <f t="shared" ca="1" si="45"/>
        <v/>
      </c>
      <c r="AF201" s="191" t="str">
        <f t="shared" ca="1" si="46"/>
        <v/>
      </c>
      <c r="AG201" s="191"/>
      <c r="AH201" s="192">
        <f t="shared" ca="1" si="44"/>
        <v>0</v>
      </c>
      <c r="AI201" s="233" t="str">
        <f t="shared" ca="1" si="48"/>
        <v/>
      </c>
    </row>
    <row r="202" spans="19:35">
      <c r="S202">
        <f t="shared" ca="1" si="37"/>
        <v>0</v>
      </c>
      <c r="T202">
        <f t="shared" ca="1" si="38"/>
        <v>2.0193000000000407</v>
      </c>
      <c r="U202" s="200" t="s">
        <v>269</v>
      </c>
      <c r="V202">
        <f t="shared" ca="1" si="39"/>
        <v>0</v>
      </c>
      <c r="W202">
        <f t="shared" ca="1" si="40"/>
        <v>0</v>
      </c>
      <c r="X202">
        <f t="shared" ca="1" si="41"/>
        <v>0</v>
      </c>
      <c r="AB202">
        <f t="shared" si="47"/>
        <v>196</v>
      </c>
      <c r="AC202" s="189" t="str">
        <f t="shared" ca="1" si="42"/>
        <v/>
      </c>
      <c r="AD202" s="190" t="str">
        <f t="shared" ca="1" si="43"/>
        <v/>
      </c>
      <c r="AE202" s="191" t="str">
        <f t="shared" ca="1" si="45"/>
        <v/>
      </c>
      <c r="AF202" s="191" t="str">
        <f t="shared" ca="1" si="46"/>
        <v/>
      </c>
      <c r="AG202" s="191"/>
      <c r="AH202" s="192">
        <f t="shared" ca="1" si="44"/>
        <v>0</v>
      </c>
      <c r="AI202" s="233" t="str">
        <f t="shared" ca="1" si="48"/>
        <v/>
      </c>
    </row>
    <row r="203" spans="19:35">
      <c r="S203">
        <f t="shared" ca="1" si="37"/>
        <v>0</v>
      </c>
      <c r="T203">
        <f t="shared" ca="1" si="38"/>
        <v>2.0194000000000409</v>
      </c>
      <c r="U203" s="200" t="s">
        <v>269</v>
      </c>
      <c r="V203">
        <f t="shared" ca="1" si="39"/>
        <v>0</v>
      </c>
      <c r="W203">
        <f t="shared" ca="1" si="40"/>
        <v>0</v>
      </c>
      <c r="X203">
        <f t="shared" ca="1" si="41"/>
        <v>0</v>
      </c>
      <c r="AB203">
        <f t="shared" si="47"/>
        <v>197</v>
      </c>
      <c r="AC203" s="189" t="str">
        <f t="shared" ca="1" si="42"/>
        <v/>
      </c>
      <c r="AD203" s="190" t="str">
        <f t="shared" ca="1" si="43"/>
        <v/>
      </c>
      <c r="AE203" s="191" t="str">
        <f t="shared" ca="1" si="45"/>
        <v/>
      </c>
      <c r="AF203" s="191" t="str">
        <f t="shared" ca="1" si="46"/>
        <v/>
      </c>
      <c r="AG203" s="191"/>
      <c r="AH203" s="192">
        <f t="shared" ca="1" si="44"/>
        <v>0</v>
      </c>
      <c r="AI203" s="233" t="str">
        <f t="shared" ca="1" si="48"/>
        <v/>
      </c>
    </row>
    <row r="204" spans="19:35">
      <c r="S204">
        <f t="shared" ca="1" si="37"/>
        <v>0</v>
      </c>
      <c r="T204">
        <f t="shared" ca="1" si="38"/>
        <v>2.0195000000000412</v>
      </c>
      <c r="U204" s="200" t="s">
        <v>269</v>
      </c>
      <c r="V204">
        <f t="shared" ca="1" si="39"/>
        <v>0</v>
      </c>
      <c r="W204">
        <f t="shared" ca="1" si="40"/>
        <v>0</v>
      </c>
      <c r="X204">
        <f t="shared" ca="1" si="41"/>
        <v>0</v>
      </c>
      <c r="AB204">
        <f t="shared" si="47"/>
        <v>198</v>
      </c>
      <c r="AC204" s="189" t="str">
        <f t="shared" ca="1" si="42"/>
        <v/>
      </c>
      <c r="AD204" s="190" t="str">
        <f t="shared" ca="1" si="43"/>
        <v/>
      </c>
      <c r="AE204" s="191" t="str">
        <f t="shared" ca="1" si="45"/>
        <v/>
      </c>
      <c r="AF204" s="191" t="str">
        <f t="shared" ca="1" si="46"/>
        <v/>
      </c>
      <c r="AG204" s="191"/>
      <c r="AH204" s="192">
        <f t="shared" ca="1" si="44"/>
        <v>0</v>
      </c>
      <c r="AI204" s="233" t="str">
        <f t="shared" ca="1" si="48"/>
        <v/>
      </c>
    </row>
    <row r="205" spans="19:35">
      <c r="S205">
        <f t="shared" ca="1" si="37"/>
        <v>0</v>
      </c>
      <c r="T205">
        <f t="shared" ca="1" si="38"/>
        <v>2.0196000000000414</v>
      </c>
      <c r="U205" s="200" t="s">
        <v>269</v>
      </c>
      <c r="V205">
        <f t="shared" ca="1" si="39"/>
        <v>0</v>
      </c>
      <c r="W205">
        <f t="shared" ca="1" si="40"/>
        <v>0</v>
      </c>
      <c r="X205">
        <f t="shared" ca="1" si="41"/>
        <v>0</v>
      </c>
      <c r="AB205">
        <f t="shared" si="47"/>
        <v>199</v>
      </c>
      <c r="AC205" s="189" t="str">
        <f t="shared" ca="1" si="42"/>
        <v/>
      </c>
      <c r="AD205" s="190" t="str">
        <f t="shared" ca="1" si="43"/>
        <v/>
      </c>
      <c r="AE205" s="191" t="str">
        <f t="shared" ca="1" si="45"/>
        <v/>
      </c>
      <c r="AF205" s="191" t="str">
        <f t="shared" ca="1" si="46"/>
        <v/>
      </c>
      <c r="AG205" s="191"/>
      <c r="AH205" s="192">
        <f t="shared" ca="1" si="44"/>
        <v>0</v>
      </c>
      <c r="AI205" s="233" t="str">
        <f t="shared" ca="1" si="48"/>
        <v/>
      </c>
    </row>
    <row r="206" spans="19:35">
      <c r="S206">
        <f t="shared" ca="1" si="37"/>
        <v>0</v>
      </c>
      <c r="T206">
        <f t="shared" ca="1" si="38"/>
        <v>2.0197000000000416</v>
      </c>
      <c r="U206" s="200" t="s">
        <v>269</v>
      </c>
      <c r="V206">
        <f t="shared" ca="1" si="39"/>
        <v>0</v>
      </c>
      <c r="W206">
        <f t="shared" ca="1" si="40"/>
        <v>0</v>
      </c>
      <c r="X206">
        <f t="shared" ca="1" si="41"/>
        <v>0</v>
      </c>
      <c r="AB206">
        <f t="shared" si="47"/>
        <v>200</v>
      </c>
      <c r="AC206" s="189" t="str">
        <f t="shared" ca="1" si="42"/>
        <v/>
      </c>
      <c r="AD206" s="190" t="str">
        <f t="shared" ca="1" si="43"/>
        <v/>
      </c>
      <c r="AE206" s="191" t="str">
        <f t="shared" ca="1" si="45"/>
        <v/>
      </c>
      <c r="AF206" s="191" t="str">
        <f t="shared" ca="1" si="46"/>
        <v/>
      </c>
      <c r="AG206" s="191"/>
      <c r="AH206" s="192">
        <f t="shared" ca="1" si="44"/>
        <v>0</v>
      </c>
      <c r="AI206" s="233" t="str">
        <f t="shared" ca="1" si="48"/>
        <v/>
      </c>
    </row>
    <row r="207" spans="19:35">
      <c r="S207">
        <f t="shared" ca="1" si="37"/>
        <v>0</v>
      </c>
      <c r="T207">
        <f t="shared" ca="1" si="38"/>
        <v>2.0198000000000418</v>
      </c>
      <c r="U207" s="200" t="s">
        <v>269</v>
      </c>
      <c r="V207">
        <f t="shared" ca="1" si="39"/>
        <v>0</v>
      </c>
      <c r="W207">
        <f t="shared" ca="1" si="40"/>
        <v>0</v>
      </c>
      <c r="X207">
        <f t="shared" ca="1" si="41"/>
        <v>0</v>
      </c>
      <c r="AB207">
        <f t="shared" si="47"/>
        <v>201</v>
      </c>
      <c r="AC207" s="189" t="str">
        <f t="shared" ca="1" si="42"/>
        <v/>
      </c>
      <c r="AD207" s="190" t="str">
        <f t="shared" ca="1" si="43"/>
        <v/>
      </c>
      <c r="AE207" s="191" t="str">
        <f t="shared" ca="1" si="45"/>
        <v/>
      </c>
      <c r="AF207" s="191" t="str">
        <f t="shared" ca="1" si="46"/>
        <v/>
      </c>
      <c r="AG207" s="191"/>
      <c r="AH207" s="192">
        <f t="shared" ca="1" si="44"/>
        <v>0</v>
      </c>
      <c r="AI207" s="233" t="str">
        <f t="shared" ca="1" si="48"/>
        <v/>
      </c>
    </row>
    <row r="208" spans="19:35">
      <c r="S208">
        <f t="shared" ca="1" si="37"/>
        <v>0</v>
      </c>
      <c r="T208">
        <f t="shared" ca="1" si="38"/>
        <v>2.019900000000042</v>
      </c>
      <c r="U208" s="200" t="s">
        <v>269</v>
      </c>
      <c r="V208">
        <f t="shared" ca="1" si="39"/>
        <v>0</v>
      </c>
      <c r="W208">
        <f t="shared" ca="1" si="40"/>
        <v>0</v>
      </c>
      <c r="X208">
        <f t="shared" ca="1" si="41"/>
        <v>0</v>
      </c>
      <c r="AB208">
        <f t="shared" si="47"/>
        <v>202</v>
      </c>
      <c r="AC208" s="189" t="str">
        <f t="shared" ca="1" si="42"/>
        <v/>
      </c>
      <c r="AD208" s="190" t="str">
        <f t="shared" ca="1" si="43"/>
        <v/>
      </c>
      <c r="AE208" s="191" t="str">
        <f t="shared" ca="1" si="45"/>
        <v/>
      </c>
      <c r="AF208" s="191" t="str">
        <f t="shared" ca="1" si="46"/>
        <v/>
      </c>
      <c r="AG208" s="191"/>
      <c r="AH208" s="192">
        <f t="shared" ca="1" si="44"/>
        <v>0</v>
      </c>
      <c r="AI208" s="233" t="str">
        <f t="shared" ca="1" si="48"/>
        <v/>
      </c>
    </row>
    <row r="209" spans="19:35">
      <c r="S209">
        <f t="shared" ca="1" si="37"/>
        <v>0</v>
      </c>
      <c r="T209">
        <f t="shared" ca="1" si="38"/>
        <v>2.0200000000000422</v>
      </c>
      <c r="U209" s="200" t="s">
        <v>269</v>
      </c>
      <c r="V209">
        <f t="shared" ca="1" si="39"/>
        <v>0</v>
      </c>
      <c r="W209">
        <f t="shared" ca="1" si="40"/>
        <v>0</v>
      </c>
      <c r="X209">
        <f t="shared" ca="1" si="41"/>
        <v>0</v>
      </c>
      <c r="AB209">
        <f t="shared" si="47"/>
        <v>203</v>
      </c>
      <c r="AC209" s="189" t="str">
        <f t="shared" ca="1" si="42"/>
        <v/>
      </c>
      <c r="AD209" s="190" t="str">
        <f t="shared" ca="1" si="43"/>
        <v/>
      </c>
      <c r="AE209" s="191" t="str">
        <f t="shared" ca="1" si="45"/>
        <v/>
      </c>
      <c r="AF209" s="191" t="str">
        <f t="shared" ca="1" si="46"/>
        <v/>
      </c>
      <c r="AG209" s="191"/>
      <c r="AH209" s="192">
        <f t="shared" ca="1" si="44"/>
        <v>0</v>
      </c>
      <c r="AI209" s="233" t="str">
        <f t="shared" ca="1" si="48"/>
        <v/>
      </c>
    </row>
    <row r="210" spans="19:35">
      <c r="S210">
        <f t="shared" ca="1" si="37"/>
        <v>0</v>
      </c>
      <c r="T210">
        <f t="shared" ca="1" si="38"/>
        <v>2.0201000000000424</v>
      </c>
      <c r="U210" s="200" t="s">
        <v>269</v>
      </c>
      <c r="V210">
        <f t="shared" ca="1" si="39"/>
        <v>0</v>
      </c>
      <c r="W210">
        <f t="shared" ca="1" si="40"/>
        <v>0</v>
      </c>
      <c r="X210">
        <f t="shared" ca="1" si="41"/>
        <v>0</v>
      </c>
      <c r="AB210">
        <f t="shared" si="47"/>
        <v>204</v>
      </c>
      <c r="AC210" s="189" t="str">
        <f t="shared" ca="1" si="42"/>
        <v/>
      </c>
      <c r="AD210" s="190" t="str">
        <f t="shared" ca="1" si="43"/>
        <v/>
      </c>
      <c r="AE210" s="191" t="str">
        <f t="shared" ca="1" si="45"/>
        <v/>
      </c>
      <c r="AF210" s="191" t="str">
        <f t="shared" ca="1" si="46"/>
        <v/>
      </c>
      <c r="AG210" s="191"/>
      <c r="AH210" s="192">
        <f t="shared" ca="1" si="44"/>
        <v>0</v>
      </c>
      <c r="AI210" s="233" t="str">
        <f t="shared" ca="1" si="48"/>
        <v/>
      </c>
    </row>
    <row r="211" spans="19:35">
      <c r="S211">
        <f t="shared" ca="1" si="37"/>
        <v>0</v>
      </c>
      <c r="T211">
        <f t="shared" ca="1" si="38"/>
        <v>2.0202000000000426</v>
      </c>
      <c r="U211" s="200" t="s">
        <v>269</v>
      </c>
      <c r="V211">
        <f t="shared" ca="1" si="39"/>
        <v>0</v>
      </c>
      <c r="W211">
        <f t="shared" ca="1" si="40"/>
        <v>0</v>
      </c>
      <c r="X211">
        <f t="shared" ca="1" si="41"/>
        <v>0</v>
      </c>
      <c r="AB211">
        <f t="shared" si="47"/>
        <v>205</v>
      </c>
      <c r="AC211" s="189" t="str">
        <f t="shared" ca="1" si="42"/>
        <v/>
      </c>
      <c r="AD211" s="190" t="str">
        <f t="shared" ca="1" si="43"/>
        <v/>
      </c>
      <c r="AE211" s="191" t="str">
        <f t="shared" ca="1" si="45"/>
        <v/>
      </c>
      <c r="AF211" s="191" t="str">
        <f t="shared" ca="1" si="46"/>
        <v/>
      </c>
      <c r="AG211" s="191"/>
      <c r="AH211" s="192">
        <f t="shared" ca="1" si="44"/>
        <v>0</v>
      </c>
      <c r="AI211" s="233" t="str">
        <f t="shared" ca="1" si="48"/>
        <v/>
      </c>
    </row>
    <row r="212" spans="19:35">
      <c r="S212">
        <f t="shared" ca="1" si="37"/>
        <v>0</v>
      </c>
      <c r="T212">
        <f t="shared" ca="1" si="38"/>
        <v>2.0203000000000428</v>
      </c>
      <c r="U212" s="200" t="s">
        <v>269</v>
      </c>
      <c r="V212">
        <f t="shared" ca="1" si="39"/>
        <v>0</v>
      </c>
      <c r="W212">
        <f t="shared" ca="1" si="40"/>
        <v>0</v>
      </c>
      <c r="X212">
        <f t="shared" ca="1" si="41"/>
        <v>0</v>
      </c>
      <c r="AB212">
        <f t="shared" si="47"/>
        <v>206</v>
      </c>
      <c r="AC212" s="189" t="str">
        <f t="shared" ca="1" si="42"/>
        <v/>
      </c>
      <c r="AD212" s="190" t="str">
        <f t="shared" ca="1" si="43"/>
        <v/>
      </c>
      <c r="AE212" s="191" t="str">
        <f t="shared" ca="1" si="45"/>
        <v/>
      </c>
      <c r="AF212" s="191" t="str">
        <f t="shared" ca="1" si="46"/>
        <v/>
      </c>
      <c r="AG212" s="191"/>
      <c r="AH212" s="192">
        <f t="shared" ca="1" si="44"/>
        <v>0</v>
      </c>
      <c r="AI212" s="233" t="str">
        <f t="shared" ca="1" si="48"/>
        <v/>
      </c>
    </row>
    <row r="213" spans="19:35">
      <c r="S213">
        <f t="shared" ca="1" si="37"/>
        <v>0</v>
      </c>
      <c r="T213">
        <f t="shared" ca="1" si="38"/>
        <v>2.0204000000000431</v>
      </c>
      <c r="U213" s="200" t="s">
        <v>269</v>
      </c>
      <c r="V213">
        <f t="shared" ca="1" si="39"/>
        <v>0</v>
      </c>
      <c r="W213">
        <f t="shared" ca="1" si="40"/>
        <v>0</v>
      </c>
      <c r="X213">
        <f t="shared" ca="1" si="41"/>
        <v>0</v>
      </c>
      <c r="AB213">
        <f t="shared" si="47"/>
        <v>207</v>
      </c>
      <c r="AC213" s="189" t="str">
        <f t="shared" ca="1" si="42"/>
        <v/>
      </c>
      <c r="AD213" s="190" t="str">
        <f t="shared" ca="1" si="43"/>
        <v/>
      </c>
      <c r="AE213" s="191" t="str">
        <f t="shared" ca="1" si="45"/>
        <v/>
      </c>
      <c r="AF213" s="191" t="str">
        <f t="shared" ca="1" si="46"/>
        <v/>
      </c>
      <c r="AG213" s="191"/>
      <c r="AH213" s="192">
        <f t="shared" ca="1" si="44"/>
        <v>0</v>
      </c>
      <c r="AI213" s="233" t="str">
        <f t="shared" ca="1" si="48"/>
        <v/>
      </c>
    </row>
    <row r="214" spans="19:35">
      <c r="S214">
        <f t="shared" ca="1" si="37"/>
        <v>0</v>
      </c>
      <c r="T214">
        <f t="shared" ca="1" si="38"/>
        <v>2.0205000000000433</v>
      </c>
      <c r="U214" s="200" t="s">
        <v>269</v>
      </c>
      <c r="V214">
        <f t="shared" ca="1" si="39"/>
        <v>0</v>
      </c>
      <c r="W214">
        <f t="shared" ca="1" si="40"/>
        <v>0</v>
      </c>
      <c r="X214">
        <f t="shared" ca="1" si="41"/>
        <v>0</v>
      </c>
      <c r="AB214">
        <f t="shared" si="47"/>
        <v>208</v>
      </c>
      <c r="AC214" s="189" t="str">
        <f t="shared" ca="1" si="42"/>
        <v/>
      </c>
      <c r="AD214" s="190" t="str">
        <f t="shared" ca="1" si="43"/>
        <v/>
      </c>
      <c r="AE214" s="191" t="str">
        <f t="shared" ca="1" si="45"/>
        <v/>
      </c>
      <c r="AF214" s="191" t="str">
        <f t="shared" ca="1" si="46"/>
        <v/>
      </c>
      <c r="AG214" s="191"/>
      <c r="AH214" s="192">
        <f t="shared" ca="1" si="44"/>
        <v>0</v>
      </c>
      <c r="AI214" s="233" t="str">
        <f t="shared" ca="1" si="48"/>
        <v/>
      </c>
    </row>
    <row r="215" spans="19:35">
      <c r="S215">
        <f t="shared" ca="1" si="37"/>
        <v>0</v>
      </c>
      <c r="T215">
        <f t="shared" ca="1" si="38"/>
        <v>2.0206000000000435</v>
      </c>
      <c r="U215" s="200" t="s">
        <v>269</v>
      </c>
      <c r="V215">
        <f t="shared" ca="1" si="39"/>
        <v>0</v>
      </c>
      <c r="W215">
        <f t="shared" ca="1" si="40"/>
        <v>0</v>
      </c>
      <c r="X215">
        <f t="shared" ca="1" si="41"/>
        <v>0</v>
      </c>
      <c r="AB215">
        <f t="shared" si="47"/>
        <v>209</v>
      </c>
      <c r="AC215" s="189" t="str">
        <f t="shared" ca="1" si="42"/>
        <v/>
      </c>
      <c r="AD215" s="190" t="str">
        <f t="shared" ca="1" si="43"/>
        <v/>
      </c>
      <c r="AE215" s="191" t="str">
        <f t="shared" ca="1" si="45"/>
        <v/>
      </c>
      <c r="AF215" s="191" t="str">
        <f t="shared" ca="1" si="46"/>
        <v/>
      </c>
      <c r="AG215" s="191"/>
      <c r="AH215" s="192">
        <f t="shared" ca="1" si="44"/>
        <v>0</v>
      </c>
      <c r="AI215" s="233" t="str">
        <f t="shared" ca="1" si="48"/>
        <v/>
      </c>
    </row>
    <row r="216" spans="19:35">
      <c r="S216">
        <f t="shared" ca="1" si="37"/>
        <v>0</v>
      </c>
      <c r="T216">
        <f t="shared" ca="1" si="38"/>
        <v>2.0207000000000437</v>
      </c>
      <c r="U216" s="200" t="s">
        <v>269</v>
      </c>
      <c r="V216">
        <f t="shared" ca="1" si="39"/>
        <v>0</v>
      </c>
      <c r="W216">
        <f t="shared" ca="1" si="40"/>
        <v>0</v>
      </c>
      <c r="X216">
        <f t="shared" ca="1" si="41"/>
        <v>0</v>
      </c>
      <c r="AB216">
        <f t="shared" si="47"/>
        <v>210</v>
      </c>
      <c r="AC216" s="189" t="str">
        <f t="shared" ca="1" si="42"/>
        <v/>
      </c>
      <c r="AD216" s="190" t="str">
        <f t="shared" ca="1" si="43"/>
        <v/>
      </c>
      <c r="AE216" s="191" t="str">
        <f t="shared" ca="1" si="45"/>
        <v/>
      </c>
      <c r="AF216" s="191" t="str">
        <f t="shared" ca="1" si="46"/>
        <v/>
      </c>
      <c r="AG216" s="191"/>
      <c r="AH216" s="192">
        <f t="shared" ca="1" si="44"/>
        <v>0</v>
      </c>
      <c r="AI216" s="233" t="str">
        <f t="shared" ca="1" si="48"/>
        <v/>
      </c>
    </row>
    <row r="217" spans="19:35">
      <c r="S217">
        <f t="shared" ca="1" si="37"/>
        <v>0</v>
      </c>
      <c r="T217">
        <f t="shared" ca="1" si="38"/>
        <v>2.0208000000000439</v>
      </c>
      <c r="U217" s="200" t="s">
        <v>269</v>
      </c>
      <c r="V217">
        <f t="shared" ca="1" si="39"/>
        <v>0</v>
      </c>
      <c r="W217">
        <f t="shared" ca="1" si="40"/>
        <v>0</v>
      </c>
      <c r="X217">
        <f t="shared" ca="1" si="41"/>
        <v>0</v>
      </c>
      <c r="AB217">
        <f t="shared" si="47"/>
        <v>211</v>
      </c>
      <c r="AC217" s="189" t="str">
        <f t="shared" ca="1" si="42"/>
        <v/>
      </c>
      <c r="AD217" s="190" t="str">
        <f t="shared" ca="1" si="43"/>
        <v/>
      </c>
      <c r="AE217" s="191" t="str">
        <f t="shared" ca="1" si="45"/>
        <v/>
      </c>
      <c r="AF217" s="191" t="str">
        <f t="shared" ca="1" si="46"/>
        <v/>
      </c>
      <c r="AG217" s="191"/>
      <c r="AH217" s="192">
        <f t="shared" ca="1" si="44"/>
        <v>0</v>
      </c>
      <c r="AI217" s="233" t="str">
        <f t="shared" ca="1" si="48"/>
        <v/>
      </c>
    </row>
    <row r="218" spans="19:35">
      <c r="S218">
        <f t="shared" ca="1" si="37"/>
        <v>0</v>
      </c>
      <c r="T218">
        <f t="shared" ca="1" si="38"/>
        <v>2.0209000000000441</v>
      </c>
      <c r="U218" s="200" t="s">
        <v>269</v>
      </c>
      <c r="V218">
        <f t="shared" ca="1" si="39"/>
        <v>0</v>
      </c>
      <c r="W218">
        <f t="shared" ca="1" si="40"/>
        <v>0</v>
      </c>
      <c r="X218">
        <f t="shared" ca="1" si="41"/>
        <v>0</v>
      </c>
      <c r="AB218">
        <f t="shared" si="47"/>
        <v>212</v>
      </c>
      <c r="AC218" s="189" t="str">
        <f t="shared" ca="1" si="42"/>
        <v/>
      </c>
      <c r="AD218" s="190" t="str">
        <f t="shared" ca="1" si="43"/>
        <v/>
      </c>
      <c r="AE218" s="191" t="str">
        <f t="shared" ca="1" si="45"/>
        <v/>
      </c>
      <c r="AF218" s="191" t="str">
        <f t="shared" ca="1" si="46"/>
        <v/>
      </c>
      <c r="AG218" s="191"/>
      <c r="AH218" s="192">
        <f t="shared" ca="1" si="44"/>
        <v>0</v>
      </c>
      <c r="AI218" s="233" t="str">
        <f t="shared" ca="1" si="48"/>
        <v/>
      </c>
    </row>
    <row r="219" spans="19:35">
      <c r="S219">
        <f t="shared" ca="1" si="37"/>
        <v>0</v>
      </c>
      <c r="T219">
        <f t="shared" ca="1" si="38"/>
        <v>2.0210000000000443</v>
      </c>
      <c r="U219" s="200" t="s">
        <v>269</v>
      </c>
      <c r="V219">
        <f t="shared" ca="1" si="39"/>
        <v>0</v>
      </c>
      <c r="W219">
        <f t="shared" ca="1" si="40"/>
        <v>0</v>
      </c>
      <c r="X219">
        <f t="shared" ca="1" si="41"/>
        <v>0</v>
      </c>
      <c r="AB219">
        <f t="shared" si="47"/>
        <v>213</v>
      </c>
      <c r="AC219" s="189" t="str">
        <f t="shared" ca="1" si="42"/>
        <v/>
      </c>
      <c r="AD219" s="190" t="str">
        <f t="shared" ca="1" si="43"/>
        <v/>
      </c>
      <c r="AE219" s="191" t="str">
        <f t="shared" ca="1" si="45"/>
        <v/>
      </c>
      <c r="AF219" s="191" t="str">
        <f t="shared" ca="1" si="46"/>
        <v/>
      </c>
      <c r="AG219" s="191"/>
      <c r="AH219" s="192">
        <f t="shared" ca="1" si="44"/>
        <v>0</v>
      </c>
      <c r="AI219" s="233" t="str">
        <f t="shared" ca="1" si="48"/>
        <v/>
      </c>
    </row>
    <row r="220" spans="19:35">
      <c r="S220">
        <f t="shared" ca="1" si="37"/>
        <v>0</v>
      </c>
      <c r="T220">
        <f t="shared" ca="1" si="38"/>
        <v>2.0211000000000445</v>
      </c>
      <c r="U220" s="200" t="s">
        <v>269</v>
      </c>
      <c r="V220">
        <f t="shared" ca="1" si="39"/>
        <v>0</v>
      </c>
      <c r="W220">
        <f t="shared" ca="1" si="40"/>
        <v>0</v>
      </c>
      <c r="X220">
        <f t="shared" ca="1" si="41"/>
        <v>0</v>
      </c>
      <c r="AB220">
        <f t="shared" si="47"/>
        <v>214</v>
      </c>
      <c r="AC220" s="189" t="str">
        <f t="shared" ca="1" si="42"/>
        <v/>
      </c>
      <c r="AD220" s="190" t="str">
        <f t="shared" ca="1" si="43"/>
        <v/>
      </c>
      <c r="AE220" s="191" t="str">
        <f t="shared" ca="1" si="45"/>
        <v/>
      </c>
      <c r="AF220" s="191" t="str">
        <f t="shared" ca="1" si="46"/>
        <v/>
      </c>
      <c r="AG220" s="191"/>
      <c r="AH220" s="192">
        <f t="shared" ca="1" si="44"/>
        <v>0</v>
      </c>
      <c r="AI220" s="233" t="str">
        <f t="shared" ca="1" si="48"/>
        <v/>
      </c>
    </row>
    <row r="221" spans="19:35">
      <c r="S221">
        <f t="shared" ca="1" si="37"/>
        <v>0</v>
      </c>
      <c r="T221">
        <f t="shared" ca="1" si="38"/>
        <v>2.0212000000000447</v>
      </c>
      <c r="U221" s="200" t="s">
        <v>269</v>
      </c>
      <c r="V221">
        <f t="shared" ca="1" si="39"/>
        <v>0</v>
      </c>
      <c r="W221">
        <f t="shared" ca="1" si="40"/>
        <v>0</v>
      </c>
      <c r="X221">
        <f t="shared" ca="1" si="41"/>
        <v>0</v>
      </c>
      <c r="AB221">
        <f t="shared" si="47"/>
        <v>215</v>
      </c>
      <c r="AC221" s="189" t="str">
        <f t="shared" ca="1" si="42"/>
        <v/>
      </c>
      <c r="AD221" s="190" t="str">
        <f t="shared" ca="1" si="43"/>
        <v/>
      </c>
      <c r="AE221" s="191" t="str">
        <f t="shared" ca="1" si="45"/>
        <v/>
      </c>
      <c r="AF221" s="191" t="str">
        <f t="shared" ca="1" si="46"/>
        <v/>
      </c>
      <c r="AG221" s="191"/>
      <c r="AH221" s="192">
        <f t="shared" ca="1" si="44"/>
        <v>0</v>
      </c>
      <c r="AI221" s="233" t="str">
        <f t="shared" ca="1" si="48"/>
        <v/>
      </c>
    </row>
    <row r="222" spans="19:35">
      <c r="S222">
        <f t="shared" ca="1" si="37"/>
        <v>0</v>
      </c>
      <c r="T222">
        <f t="shared" ca="1" si="38"/>
        <v>2.0213000000000449</v>
      </c>
      <c r="U222" s="200" t="s">
        <v>269</v>
      </c>
      <c r="V222">
        <f t="shared" ca="1" si="39"/>
        <v>0</v>
      </c>
      <c r="W222">
        <f t="shared" ca="1" si="40"/>
        <v>0</v>
      </c>
      <c r="X222">
        <f t="shared" ca="1" si="41"/>
        <v>0</v>
      </c>
      <c r="AB222">
        <f t="shared" si="47"/>
        <v>216</v>
      </c>
      <c r="AC222" s="189" t="str">
        <f t="shared" ca="1" si="42"/>
        <v/>
      </c>
      <c r="AD222" s="190" t="str">
        <f t="shared" ca="1" si="43"/>
        <v/>
      </c>
      <c r="AE222" s="191" t="str">
        <f t="shared" ca="1" si="45"/>
        <v/>
      </c>
      <c r="AF222" s="191" t="str">
        <f t="shared" ca="1" si="46"/>
        <v/>
      </c>
      <c r="AG222" s="191"/>
      <c r="AH222" s="192">
        <f t="shared" ca="1" si="44"/>
        <v>0</v>
      </c>
      <c r="AI222" s="233" t="str">
        <f t="shared" ca="1" si="48"/>
        <v/>
      </c>
    </row>
    <row r="223" spans="19:35">
      <c r="S223">
        <f t="shared" ca="1" si="37"/>
        <v>0</v>
      </c>
      <c r="T223">
        <f t="shared" ca="1" si="38"/>
        <v>2.0214000000000452</v>
      </c>
      <c r="U223" s="200" t="s">
        <v>269</v>
      </c>
      <c r="V223">
        <f t="shared" ca="1" si="39"/>
        <v>0</v>
      </c>
      <c r="W223">
        <f t="shared" ca="1" si="40"/>
        <v>0</v>
      </c>
      <c r="X223">
        <f t="shared" ca="1" si="41"/>
        <v>0</v>
      </c>
      <c r="AB223">
        <f t="shared" si="47"/>
        <v>217</v>
      </c>
      <c r="AC223" s="189" t="str">
        <f t="shared" ca="1" si="42"/>
        <v/>
      </c>
      <c r="AD223" s="190" t="str">
        <f t="shared" ca="1" si="43"/>
        <v/>
      </c>
      <c r="AE223" s="191" t="str">
        <f t="shared" ca="1" si="45"/>
        <v/>
      </c>
      <c r="AF223" s="191" t="str">
        <f t="shared" ca="1" si="46"/>
        <v/>
      </c>
      <c r="AG223" s="191"/>
      <c r="AH223" s="192">
        <f t="shared" ca="1" si="44"/>
        <v>0</v>
      </c>
      <c r="AI223" s="233" t="str">
        <f t="shared" ca="1" si="48"/>
        <v/>
      </c>
    </row>
    <row r="224" spans="19:35">
      <c r="S224">
        <f t="shared" ca="1" si="37"/>
        <v>0</v>
      </c>
      <c r="T224">
        <f t="shared" ca="1" si="38"/>
        <v>2.0215000000000454</v>
      </c>
      <c r="U224" s="200" t="s">
        <v>269</v>
      </c>
      <c r="V224">
        <f t="shared" ca="1" si="39"/>
        <v>0</v>
      </c>
      <c r="W224">
        <f t="shared" ca="1" si="40"/>
        <v>0</v>
      </c>
      <c r="X224">
        <f t="shared" ca="1" si="41"/>
        <v>0</v>
      </c>
      <c r="AB224">
        <f t="shared" si="47"/>
        <v>218</v>
      </c>
      <c r="AC224" s="189" t="str">
        <f t="shared" ca="1" si="42"/>
        <v/>
      </c>
      <c r="AD224" s="190" t="str">
        <f t="shared" ca="1" si="43"/>
        <v/>
      </c>
      <c r="AE224" s="191" t="str">
        <f t="shared" ca="1" si="45"/>
        <v/>
      </c>
      <c r="AF224" s="191" t="str">
        <f t="shared" ca="1" si="46"/>
        <v/>
      </c>
      <c r="AG224" s="191"/>
      <c r="AH224" s="192">
        <f t="shared" ca="1" si="44"/>
        <v>0</v>
      </c>
      <c r="AI224" s="233" t="str">
        <f t="shared" ca="1" si="48"/>
        <v/>
      </c>
    </row>
    <row r="225" spans="19:35">
      <c r="S225">
        <f t="shared" ca="1" si="37"/>
        <v>0</v>
      </c>
      <c r="T225">
        <f t="shared" ca="1" si="38"/>
        <v>2.0216000000000456</v>
      </c>
      <c r="U225" s="200" t="s">
        <v>269</v>
      </c>
      <c r="V225">
        <f t="shared" ca="1" si="39"/>
        <v>0</v>
      </c>
      <c r="W225">
        <f t="shared" ca="1" si="40"/>
        <v>0</v>
      </c>
      <c r="X225">
        <f t="shared" ca="1" si="41"/>
        <v>0</v>
      </c>
      <c r="AB225">
        <f t="shared" si="47"/>
        <v>219</v>
      </c>
      <c r="AC225" s="189" t="str">
        <f t="shared" ca="1" si="42"/>
        <v/>
      </c>
      <c r="AD225" s="190" t="str">
        <f t="shared" ca="1" si="43"/>
        <v/>
      </c>
      <c r="AE225" s="191" t="str">
        <f t="shared" ca="1" si="45"/>
        <v/>
      </c>
      <c r="AF225" s="191" t="str">
        <f t="shared" ca="1" si="46"/>
        <v/>
      </c>
      <c r="AG225" s="191"/>
      <c r="AH225" s="192">
        <f t="shared" ca="1" si="44"/>
        <v>0</v>
      </c>
      <c r="AI225" s="233" t="str">
        <f t="shared" ca="1" si="48"/>
        <v/>
      </c>
    </row>
    <row r="226" spans="19:35">
      <c r="S226">
        <f t="shared" ref="S226:S289" ca="1" si="49">IF(OR(G71=0,I71=0),0,1)</f>
        <v>0</v>
      </c>
      <c r="T226">
        <f t="shared" ref="T226:T289" ca="1" si="50">IF(S226=0,T225+0.0001,ROUND(1+T225,0))</f>
        <v>2.0217000000000458</v>
      </c>
      <c r="U226" s="200" t="s">
        <v>269</v>
      </c>
      <c r="V226">
        <f t="shared" ref="V226:V289" ca="1" si="51">IF(S226&lt;&gt;0,G71,0)</f>
        <v>0</v>
      </c>
      <c r="W226">
        <f t="shared" ref="W226:W289" ca="1" si="52">IF(S226&lt;&gt;0,H71,0)</f>
        <v>0</v>
      </c>
      <c r="X226">
        <f t="shared" ref="X226:X289" ca="1" si="53">IF(S226&lt;&gt;0,I71,0)</f>
        <v>0</v>
      </c>
      <c r="AB226">
        <f t="shared" si="47"/>
        <v>220</v>
      </c>
      <c r="AC226" s="189" t="str">
        <f t="shared" ca="1" si="42"/>
        <v/>
      </c>
      <c r="AD226" s="190" t="str">
        <f t="shared" ca="1" si="43"/>
        <v/>
      </c>
      <c r="AE226" s="191" t="str">
        <f t="shared" ca="1" si="45"/>
        <v/>
      </c>
      <c r="AF226" s="191" t="str">
        <f t="shared" ca="1" si="46"/>
        <v/>
      </c>
      <c r="AG226" s="191"/>
      <c r="AH226" s="192">
        <f t="shared" ca="1" si="44"/>
        <v>0</v>
      </c>
      <c r="AI226" s="233" t="str">
        <f t="shared" ca="1" si="48"/>
        <v/>
      </c>
    </row>
    <row r="227" spans="19:35">
      <c r="S227">
        <f t="shared" ca="1" si="49"/>
        <v>0</v>
      </c>
      <c r="T227">
        <f t="shared" ca="1" si="50"/>
        <v>2.021800000000046</v>
      </c>
      <c r="U227" s="200" t="s">
        <v>269</v>
      </c>
      <c r="V227">
        <f t="shared" ca="1" si="51"/>
        <v>0</v>
      </c>
      <c r="W227">
        <f t="shared" ca="1" si="52"/>
        <v>0</v>
      </c>
      <c r="X227">
        <f t="shared" ca="1" si="53"/>
        <v>0</v>
      </c>
      <c r="AB227">
        <f t="shared" si="47"/>
        <v>221</v>
      </c>
      <c r="AC227" s="189" t="str">
        <f t="shared" ca="1" si="42"/>
        <v/>
      </c>
      <c r="AD227" s="190" t="str">
        <f t="shared" ca="1" si="43"/>
        <v/>
      </c>
      <c r="AE227" s="191" t="str">
        <f t="shared" ca="1" si="45"/>
        <v/>
      </c>
      <c r="AF227" s="191" t="str">
        <f t="shared" ca="1" si="46"/>
        <v/>
      </c>
      <c r="AG227" s="191"/>
      <c r="AH227" s="192">
        <f t="shared" ca="1" si="44"/>
        <v>0</v>
      </c>
      <c r="AI227" s="233" t="str">
        <f t="shared" ca="1" si="48"/>
        <v/>
      </c>
    </row>
    <row r="228" spans="19:35">
      <c r="S228">
        <f t="shared" ca="1" si="49"/>
        <v>0</v>
      </c>
      <c r="T228">
        <f t="shared" ca="1" si="50"/>
        <v>2.0219000000000462</v>
      </c>
      <c r="U228" s="200" t="s">
        <v>269</v>
      </c>
      <c r="V228">
        <f t="shared" ca="1" si="51"/>
        <v>0</v>
      </c>
      <c r="W228">
        <f t="shared" ca="1" si="52"/>
        <v>0</v>
      </c>
      <c r="X228">
        <f t="shared" ca="1" si="53"/>
        <v>0</v>
      </c>
      <c r="AB228">
        <f t="shared" si="47"/>
        <v>222</v>
      </c>
      <c r="AC228" s="189" t="str">
        <f t="shared" ca="1" si="42"/>
        <v/>
      </c>
      <c r="AD228" s="190" t="str">
        <f t="shared" ca="1" si="43"/>
        <v/>
      </c>
      <c r="AE228" s="191" t="str">
        <f t="shared" ca="1" si="45"/>
        <v/>
      </c>
      <c r="AF228" s="191" t="str">
        <f t="shared" ca="1" si="46"/>
        <v/>
      </c>
      <c r="AG228" s="191"/>
      <c r="AH228" s="192">
        <f t="shared" ca="1" si="44"/>
        <v>0</v>
      </c>
      <c r="AI228" s="233" t="str">
        <f t="shared" ca="1" si="48"/>
        <v/>
      </c>
    </row>
    <row r="229" spans="19:35">
      <c r="S229">
        <f t="shared" ca="1" si="49"/>
        <v>0</v>
      </c>
      <c r="T229">
        <f t="shared" ca="1" si="50"/>
        <v>2.0220000000000464</v>
      </c>
      <c r="U229" s="200" t="s">
        <v>269</v>
      </c>
      <c r="V229">
        <f t="shared" ca="1" si="51"/>
        <v>0</v>
      </c>
      <c r="W229">
        <f t="shared" ca="1" si="52"/>
        <v>0</v>
      </c>
      <c r="X229">
        <f t="shared" ca="1" si="53"/>
        <v>0</v>
      </c>
      <c r="AB229">
        <f t="shared" si="47"/>
        <v>223</v>
      </c>
      <c r="AC229" s="189" t="str">
        <f t="shared" ca="1" si="42"/>
        <v/>
      </c>
      <c r="AD229" s="190" t="str">
        <f t="shared" ca="1" si="43"/>
        <v/>
      </c>
      <c r="AE229" s="191" t="str">
        <f t="shared" ca="1" si="45"/>
        <v/>
      </c>
      <c r="AF229" s="191" t="str">
        <f t="shared" ca="1" si="46"/>
        <v/>
      </c>
      <c r="AG229" s="191"/>
      <c r="AH229" s="192">
        <f t="shared" ca="1" si="44"/>
        <v>0</v>
      </c>
      <c r="AI229" s="233" t="str">
        <f t="shared" ca="1" si="48"/>
        <v/>
      </c>
    </row>
    <row r="230" spans="19:35">
      <c r="S230">
        <f t="shared" ca="1" si="49"/>
        <v>0</v>
      </c>
      <c r="T230">
        <f t="shared" ca="1" si="50"/>
        <v>2.0221000000000466</v>
      </c>
      <c r="U230" s="200" t="s">
        <v>269</v>
      </c>
      <c r="V230">
        <f t="shared" ca="1" si="51"/>
        <v>0</v>
      </c>
      <c r="W230">
        <f t="shared" ca="1" si="52"/>
        <v>0</v>
      </c>
      <c r="X230">
        <f t="shared" ca="1" si="53"/>
        <v>0</v>
      </c>
      <c r="AB230">
        <f t="shared" si="47"/>
        <v>224</v>
      </c>
      <c r="AC230" s="189" t="str">
        <f t="shared" ca="1" si="42"/>
        <v/>
      </c>
      <c r="AD230" s="190" t="str">
        <f t="shared" ca="1" si="43"/>
        <v/>
      </c>
      <c r="AE230" s="191" t="str">
        <f t="shared" ca="1" si="45"/>
        <v/>
      </c>
      <c r="AF230" s="191" t="str">
        <f t="shared" ca="1" si="46"/>
        <v/>
      </c>
      <c r="AG230" s="191"/>
      <c r="AH230" s="192">
        <f t="shared" ca="1" si="44"/>
        <v>0</v>
      </c>
      <c r="AI230" s="233" t="str">
        <f t="shared" ca="1" si="48"/>
        <v/>
      </c>
    </row>
    <row r="231" spans="19:35">
      <c r="S231">
        <f t="shared" ca="1" si="49"/>
        <v>0</v>
      </c>
      <c r="T231">
        <f t="shared" ca="1" si="50"/>
        <v>2.0222000000000468</v>
      </c>
      <c r="U231" s="200" t="s">
        <v>269</v>
      </c>
      <c r="V231">
        <f t="shared" ca="1" si="51"/>
        <v>0</v>
      </c>
      <c r="W231">
        <f t="shared" ca="1" si="52"/>
        <v>0</v>
      </c>
      <c r="X231">
        <f t="shared" ca="1" si="53"/>
        <v>0</v>
      </c>
      <c r="AB231">
        <f t="shared" si="47"/>
        <v>225</v>
      </c>
      <c r="AC231" s="189" t="str">
        <f t="shared" ca="1" si="42"/>
        <v/>
      </c>
      <c r="AD231" s="190" t="str">
        <f t="shared" ca="1" si="43"/>
        <v/>
      </c>
      <c r="AE231" s="191" t="str">
        <f t="shared" ca="1" si="45"/>
        <v/>
      </c>
      <c r="AF231" s="191" t="str">
        <f t="shared" ca="1" si="46"/>
        <v/>
      </c>
      <c r="AG231" s="191"/>
      <c r="AH231" s="192">
        <f t="shared" ca="1" si="44"/>
        <v>0</v>
      </c>
      <c r="AI231" s="233" t="str">
        <f t="shared" ca="1" si="48"/>
        <v/>
      </c>
    </row>
    <row r="232" spans="19:35">
      <c r="S232">
        <f t="shared" ca="1" si="49"/>
        <v>0</v>
      </c>
      <c r="T232">
        <f t="shared" ca="1" si="50"/>
        <v>2.0223000000000471</v>
      </c>
      <c r="U232" s="200" t="s">
        <v>269</v>
      </c>
      <c r="V232">
        <f t="shared" ca="1" si="51"/>
        <v>0</v>
      </c>
      <c r="W232">
        <f t="shared" ca="1" si="52"/>
        <v>0</v>
      </c>
      <c r="X232">
        <f t="shared" ca="1" si="53"/>
        <v>0</v>
      </c>
      <c r="AB232">
        <f t="shared" si="47"/>
        <v>226</v>
      </c>
      <c r="AC232" s="189" t="str">
        <f t="shared" ca="1" si="42"/>
        <v/>
      </c>
      <c r="AD232" s="190" t="str">
        <f t="shared" ca="1" si="43"/>
        <v/>
      </c>
      <c r="AE232" s="191" t="str">
        <f t="shared" ca="1" si="45"/>
        <v/>
      </c>
      <c r="AF232" s="191" t="str">
        <f t="shared" ca="1" si="46"/>
        <v/>
      </c>
      <c r="AG232" s="191"/>
      <c r="AH232" s="192">
        <f t="shared" ca="1" si="44"/>
        <v>0</v>
      </c>
      <c r="AI232" s="233" t="str">
        <f t="shared" ca="1" si="48"/>
        <v/>
      </c>
    </row>
    <row r="233" spans="19:35">
      <c r="S233">
        <f t="shared" ca="1" si="49"/>
        <v>0</v>
      </c>
      <c r="T233">
        <f t="shared" ca="1" si="50"/>
        <v>2.0224000000000473</v>
      </c>
      <c r="U233" s="200" t="s">
        <v>269</v>
      </c>
      <c r="V233">
        <f t="shared" ca="1" si="51"/>
        <v>0</v>
      </c>
      <c r="W233">
        <f t="shared" ca="1" si="52"/>
        <v>0</v>
      </c>
      <c r="X233">
        <f t="shared" ca="1" si="53"/>
        <v>0</v>
      </c>
      <c r="AB233">
        <f t="shared" si="47"/>
        <v>227</v>
      </c>
      <c r="AC233" s="189" t="str">
        <f t="shared" ca="1" si="42"/>
        <v/>
      </c>
      <c r="AD233" s="190" t="str">
        <f t="shared" ca="1" si="43"/>
        <v/>
      </c>
      <c r="AE233" s="191" t="str">
        <f t="shared" ca="1" si="45"/>
        <v/>
      </c>
      <c r="AF233" s="191" t="str">
        <f t="shared" ca="1" si="46"/>
        <v/>
      </c>
      <c r="AG233" s="191"/>
      <c r="AH233" s="192">
        <f t="shared" ca="1" si="44"/>
        <v>0</v>
      </c>
      <c r="AI233" s="233" t="str">
        <f t="shared" ca="1" si="48"/>
        <v/>
      </c>
    </row>
    <row r="234" spans="19:35">
      <c r="S234">
        <f t="shared" ca="1" si="49"/>
        <v>0</v>
      </c>
      <c r="T234">
        <f t="shared" ca="1" si="50"/>
        <v>2.0225000000000475</v>
      </c>
      <c r="U234" s="200" t="s">
        <v>269</v>
      </c>
      <c r="V234">
        <f t="shared" ca="1" si="51"/>
        <v>0</v>
      </c>
      <c r="W234">
        <f t="shared" ca="1" si="52"/>
        <v>0</v>
      </c>
      <c r="X234">
        <f t="shared" ca="1" si="53"/>
        <v>0</v>
      </c>
      <c r="AB234">
        <f t="shared" si="47"/>
        <v>228</v>
      </c>
      <c r="AC234" s="189" t="str">
        <f t="shared" ca="1" si="42"/>
        <v/>
      </c>
      <c r="AD234" s="190" t="str">
        <f t="shared" ca="1" si="43"/>
        <v/>
      </c>
      <c r="AE234" s="191" t="str">
        <f t="shared" ca="1" si="45"/>
        <v/>
      </c>
      <c r="AF234" s="191" t="str">
        <f t="shared" ca="1" si="46"/>
        <v/>
      </c>
      <c r="AG234" s="191"/>
      <c r="AH234" s="192">
        <f t="shared" ca="1" si="44"/>
        <v>0</v>
      </c>
      <c r="AI234" s="233" t="str">
        <f t="shared" ca="1" si="48"/>
        <v/>
      </c>
    </row>
    <row r="235" spans="19:35">
      <c r="S235">
        <f t="shared" ca="1" si="49"/>
        <v>0</v>
      </c>
      <c r="T235">
        <f t="shared" ca="1" si="50"/>
        <v>2.0226000000000477</v>
      </c>
      <c r="U235" s="200" t="s">
        <v>269</v>
      </c>
      <c r="V235">
        <f t="shared" ca="1" si="51"/>
        <v>0</v>
      </c>
      <c r="W235">
        <f t="shared" ca="1" si="52"/>
        <v>0</v>
      </c>
      <c r="X235">
        <f t="shared" ca="1" si="53"/>
        <v>0</v>
      </c>
      <c r="AB235">
        <f t="shared" si="47"/>
        <v>229</v>
      </c>
      <c r="AC235" s="189" t="str">
        <f t="shared" ca="1" si="42"/>
        <v/>
      </c>
      <c r="AD235" s="190" t="str">
        <f t="shared" ca="1" si="43"/>
        <v/>
      </c>
      <c r="AE235" s="191" t="str">
        <f t="shared" ca="1" si="45"/>
        <v/>
      </c>
      <c r="AF235" s="191" t="str">
        <f t="shared" ca="1" si="46"/>
        <v/>
      </c>
      <c r="AG235" s="191"/>
      <c r="AH235" s="192">
        <f t="shared" ca="1" si="44"/>
        <v>0</v>
      </c>
      <c r="AI235" s="233" t="str">
        <f t="shared" ca="1" si="48"/>
        <v/>
      </c>
    </row>
    <row r="236" spans="19:35">
      <c r="S236">
        <f t="shared" ca="1" si="49"/>
        <v>0</v>
      </c>
      <c r="T236">
        <f t="shared" ca="1" si="50"/>
        <v>2.0227000000000479</v>
      </c>
      <c r="U236" s="200" t="s">
        <v>269</v>
      </c>
      <c r="V236">
        <f t="shared" ca="1" si="51"/>
        <v>0</v>
      </c>
      <c r="W236">
        <f t="shared" ca="1" si="52"/>
        <v>0</v>
      </c>
      <c r="X236">
        <f t="shared" ca="1" si="53"/>
        <v>0</v>
      </c>
      <c r="AB236">
        <f t="shared" si="47"/>
        <v>230</v>
      </c>
      <c r="AC236" s="189" t="str">
        <f t="shared" ca="1" si="42"/>
        <v/>
      </c>
      <c r="AD236" s="190" t="str">
        <f t="shared" ca="1" si="43"/>
        <v/>
      </c>
      <c r="AE236" s="191" t="str">
        <f t="shared" ca="1" si="45"/>
        <v/>
      </c>
      <c r="AF236" s="191" t="str">
        <f t="shared" ca="1" si="46"/>
        <v/>
      </c>
      <c r="AG236" s="191"/>
      <c r="AH236" s="192">
        <f t="shared" ca="1" si="44"/>
        <v>0</v>
      </c>
      <c r="AI236" s="233" t="str">
        <f t="shared" ca="1" si="48"/>
        <v/>
      </c>
    </row>
    <row r="237" spans="19:35">
      <c r="S237">
        <f t="shared" ca="1" si="49"/>
        <v>0</v>
      </c>
      <c r="T237">
        <f t="shared" ca="1" si="50"/>
        <v>2.0228000000000481</v>
      </c>
      <c r="U237" s="200" t="s">
        <v>269</v>
      </c>
      <c r="V237">
        <f t="shared" ca="1" si="51"/>
        <v>0</v>
      </c>
      <c r="W237">
        <f t="shared" ca="1" si="52"/>
        <v>0</v>
      </c>
      <c r="X237">
        <f t="shared" ca="1" si="53"/>
        <v>0</v>
      </c>
      <c r="AB237">
        <f t="shared" si="47"/>
        <v>231</v>
      </c>
      <c r="AC237" s="189" t="str">
        <f t="shared" ca="1" si="42"/>
        <v/>
      </c>
      <c r="AD237" s="190" t="str">
        <f t="shared" ca="1" si="43"/>
        <v/>
      </c>
      <c r="AE237" s="191" t="str">
        <f t="shared" ca="1" si="45"/>
        <v/>
      </c>
      <c r="AF237" s="191" t="str">
        <f t="shared" ca="1" si="46"/>
        <v/>
      </c>
      <c r="AG237" s="191"/>
      <c r="AH237" s="192">
        <f t="shared" ca="1" si="44"/>
        <v>0</v>
      </c>
      <c r="AI237" s="233" t="str">
        <f t="shared" ca="1" si="48"/>
        <v/>
      </c>
    </row>
    <row r="238" spans="19:35">
      <c r="S238">
        <f t="shared" ca="1" si="49"/>
        <v>0</v>
      </c>
      <c r="T238">
        <f t="shared" ca="1" si="50"/>
        <v>2.0229000000000483</v>
      </c>
      <c r="U238" s="200" t="s">
        <v>269</v>
      </c>
      <c r="V238">
        <f t="shared" ca="1" si="51"/>
        <v>0</v>
      </c>
      <c r="W238">
        <f t="shared" ca="1" si="52"/>
        <v>0</v>
      </c>
      <c r="X238">
        <f t="shared" ca="1" si="53"/>
        <v>0</v>
      </c>
      <c r="AB238">
        <f t="shared" si="47"/>
        <v>232</v>
      </c>
      <c r="AC238" s="189" t="str">
        <f t="shared" ca="1" si="42"/>
        <v/>
      </c>
      <c r="AD238" s="190" t="str">
        <f t="shared" ca="1" si="43"/>
        <v/>
      </c>
      <c r="AE238" s="191" t="str">
        <f t="shared" ca="1" si="45"/>
        <v/>
      </c>
      <c r="AF238" s="191" t="str">
        <f t="shared" ca="1" si="46"/>
        <v/>
      </c>
      <c r="AG238" s="191"/>
      <c r="AH238" s="192">
        <f t="shared" ca="1" si="44"/>
        <v>0</v>
      </c>
      <c r="AI238" s="233" t="str">
        <f t="shared" ca="1" si="48"/>
        <v/>
      </c>
    </row>
    <row r="239" spans="19:35">
      <c r="S239">
        <f t="shared" ca="1" si="49"/>
        <v>0</v>
      </c>
      <c r="T239">
        <f t="shared" ca="1" si="50"/>
        <v>2.0230000000000485</v>
      </c>
      <c r="U239" s="200" t="s">
        <v>269</v>
      </c>
      <c r="V239">
        <f t="shared" ca="1" si="51"/>
        <v>0</v>
      </c>
      <c r="W239">
        <f t="shared" ca="1" si="52"/>
        <v>0</v>
      </c>
      <c r="X239">
        <f t="shared" ca="1" si="53"/>
        <v>0</v>
      </c>
      <c r="AB239">
        <f t="shared" si="47"/>
        <v>233</v>
      </c>
      <c r="AC239" s="189" t="str">
        <f t="shared" ca="1" si="42"/>
        <v/>
      </c>
      <c r="AD239" s="190" t="str">
        <f t="shared" ca="1" si="43"/>
        <v/>
      </c>
      <c r="AE239" s="191" t="str">
        <f t="shared" ca="1" si="45"/>
        <v/>
      </c>
      <c r="AF239" s="191" t="str">
        <f t="shared" ca="1" si="46"/>
        <v/>
      </c>
      <c r="AG239" s="191"/>
      <c r="AH239" s="192">
        <f t="shared" ca="1" si="44"/>
        <v>0</v>
      </c>
      <c r="AI239" s="233" t="str">
        <f t="shared" ca="1" si="48"/>
        <v/>
      </c>
    </row>
    <row r="240" spans="19:35">
      <c r="S240">
        <f t="shared" ca="1" si="49"/>
        <v>0</v>
      </c>
      <c r="T240">
        <f t="shared" ca="1" si="50"/>
        <v>2.0231000000000487</v>
      </c>
      <c r="U240" s="200" t="s">
        <v>269</v>
      </c>
      <c r="V240">
        <f t="shared" ca="1" si="51"/>
        <v>0</v>
      </c>
      <c r="W240">
        <f t="shared" ca="1" si="52"/>
        <v>0</v>
      </c>
      <c r="X240">
        <f t="shared" ca="1" si="53"/>
        <v>0</v>
      </c>
      <c r="AB240">
        <f t="shared" si="47"/>
        <v>234</v>
      </c>
      <c r="AC240" s="189" t="str">
        <f t="shared" ca="1" si="42"/>
        <v/>
      </c>
      <c r="AD240" s="190" t="str">
        <f t="shared" ca="1" si="43"/>
        <v/>
      </c>
      <c r="AE240" s="191" t="str">
        <f t="shared" ca="1" si="45"/>
        <v/>
      </c>
      <c r="AF240" s="191" t="str">
        <f t="shared" ca="1" si="46"/>
        <v/>
      </c>
      <c r="AG240" s="191"/>
      <c r="AH240" s="192">
        <f t="shared" ca="1" si="44"/>
        <v>0</v>
      </c>
      <c r="AI240" s="233" t="str">
        <f t="shared" ca="1" si="48"/>
        <v/>
      </c>
    </row>
    <row r="241" spans="19:35">
      <c r="S241">
        <f t="shared" ca="1" si="49"/>
        <v>0</v>
      </c>
      <c r="T241">
        <f t="shared" ca="1" si="50"/>
        <v>2.023200000000049</v>
      </c>
      <c r="U241" s="200" t="s">
        <v>269</v>
      </c>
      <c r="V241">
        <f t="shared" ca="1" si="51"/>
        <v>0</v>
      </c>
      <c r="W241">
        <f t="shared" ca="1" si="52"/>
        <v>0</v>
      </c>
      <c r="X241">
        <f t="shared" ca="1" si="53"/>
        <v>0</v>
      </c>
      <c r="AB241">
        <f t="shared" si="47"/>
        <v>235</v>
      </c>
      <c r="AC241" s="189" t="str">
        <f t="shared" ca="1" si="42"/>
        <v/>
      </c>
      <c r="AD241" s="190" t="str">
        <f t="shared" ca="1" si="43"/>
        <v/>
      </c>
      <c r="AE241" s="191" t="str">
        <f t="shared" ca="1" si="45"/>
        <v/>
      </c>
      <c r="AF241" s="191" t="str">
        <f t="shared" ca="1" si="46"/>
        <v/>
      </c>
      <c r="AG241" s="191"/>
      <c r="AH241" s="192">
        <f t="shared" ca="1" si="44"/>
        <v>0</v>
      </c>
      <c r="AI241" s="233" t="str">
        <f t="shared" ca="1" si="48"/>
        <v/>
      </c>
    </row>
    <row r="242" spans="19:35">
      <c r="S242">
        <f t="shared" ca="1" si="49"/>
        <v>0</v>
      </c>
      <c r="T242">
        <f t="shared" ca="1" si="50"/>
        <v>2.0233000000000492</v>
      </c>
      <c r="U242" s="200" t="s">
        <v>269</v>
      </c>
      <c r="V242">
        <f t="shared" ca="1" si="51"/>
        <v>0</v>
      </c>
      <c r="W242">
        <f t="shared" ca="1" si="52"/>
        <v>0</v>
      </c>
      <c r="X242">
        <f t="shared" ca="1" si="53"/>
        <v>0</v>
      </c>
      <c r="AB242">
        <f t="shared" si="47"/>
        <v>236</v>
      </c>
      <c r="AC242" s="189" t="str">
        <f t="shared" ca="1" si="42"/>
        <v/>
      </c>
      <c r="AD242" s="190" t="str">
        <f t="shared" ca="1" si="43"/>
        <v/>
      </c>
      <c r="AE242" s="191" t="str">
        <f t="shared" ca="1" si="45"/>
        <v/>
      </c>
      <c r="AF242" s="191" t="str">
        <f t="shared" ca="1" si="46"/>
        <v/>
      </c>
      <c r="AG242" s="191"/>
      <c r="AH242" s="192">
        <f t="shared" ca="1" si="44"/>
        <v>0</v>
      </c>
      <c r="AI242" s="233" t="str">
        <f t="shared" ca="1" si="48"/>
        <v/>
      </c>
    </row>
    <row r="243" spans="19:35">
      <c r="S243">
        <f t="shared" ca="1" si="49"/>
        <v>0</v>
      </c>
      <c r="T243">
        <f t="shared" ca="1" si="50"/>
        <v>2.0234000000000494</v>
      </c>
      <c r="U243" s="200" t="s">
        <v>269</v>
      </c>
      <c r="V243">
        <f t="shared" ca="1" si="51"/>
        <v>0</v>
      </c>
      <c r="W243">
        <f t="shared" ca="1" si="52"/>
        <v>0</v>
      </c>
      <c r="X243">
        <f t="shared" ca="1" si="53"/>
        <v>0</v>
      </c>
      <c r="AB243">
        <f t="shared" si="47"/>
        <v>237</v>
      </c>
      <c r="AC243" s="189" t="str">
        <f t="shared" ref="AC243:AC266" ca="1" si="54">IF(AB243&gt;$U$4,"",AC242)</f>
        <v/>
      </c>
      <c r="AD243" s="190" t="str">
        <f t="shared" ref="AD243:AD266" ca="1" si="55">IF(AB243&gt;$U$4,"",AD242)</f>
        <v/>
      </c>
      <c r="AE243" s="191" t="str">
        <f t="shared" ca="1" si="45"/>
        <v/>
      </c>
      <c r="AF243" s="191" t="str">
        <f t="shared" ca="1" si="46"/>
        <v/>
      </c>
      <c r="AG243" s="191"/>
      <c r="AH243" s="192">
        <f t="shared" ref="AH243:AH266" ca="1" si="56">VLOOKUP(AB243,$T$6:$X$325,5)</f>
        <v>0</v>
      </c>
      <c r="AI243" s="233" t="str">
        <f t="shared" ca="1" si="48"/>
        <v/>
      </c>
    </row>
    <row r="244" spans="19:35">
      <c r="S244">
        <f t="shared" ca="1" si="49"/>
        <v>0</v>
      </c>
      <c r="T244">
        <f t="shared" ca="1" si="50"/>
        <v>2.0235000000000496</v>
      </c>
      <c r="U244" s="200" t="s">
        <v>269</v>
      </c>
      <c r="V244">
        <f t="shared" ca="1" si="51"/>
        <v>0</v>
      </c>
      <c r="W244">
        <f t="shared" ca="1" si="52"/>
        <v>0</v>
      </c>
      <c r="X244">
        <f t="shared" ca="1" si="53"/>
        <v>0</v>
      </c>
      <c r="AB244">
        <f t="shared" si="47"/>
        <v>238</v>
      </c>
      <c r="AC244" s="189" t="str">
        <f t="shared" ca="1" si="54"/>
        <v/>
      </c>
      <c r="AD244" s="190" t="str">
        <f t="shared" ca="1" si="55"/>
        <v/>
      </c>
      <c r="AE244" s="191" t="str">
        <f t="shared" ca="1" si="45"/>
        <v/>
      </c>
      <c r="AF244" s="191" t="str">
        <f t="shared" ca="1" si="46"/>
        <v/>
      </c>
      <c r="AG244" s="191"/>
      <c r="AH244" s="192">
        <f t="shared" ca="1" si="56"/>
        <v>0</v>
      </c>
      <c r="AI244" s="233" t="str">
        <f t="shared" ca="1" si="48"/>
        <v/>
      </c>
    </row>
    <row r="245" spans="19:35">
      <c r="S245">
        <f t="shared" ca="1" si="49"/>
        <v>0</v>
      </c>
      <c r="T245">
        <f t="shared" ca="1" si="50"/>
        <v>2.0236000000000498</v>
      </c>
      <c r="U245" s="200" t="s">
        <v>269</v>
      </c>
      <c r="V245">
        <f t="shared" ca="1" si="51"/>
        <v>0</v>
      </c>
      <c r="W245">
        <f t="shared" ca="1" si="52"/>
        <v>0</v>
      </c>
      <c r="X245">
        <f t="shared" ca="1" si="53"/>
        <v>0</v>
      </c>
      <c r="AB245">
        <f t="shared" si="47"/>
        <v>239</v>
      </c>
      <c r="AC245" s="189" t="str">
        <f t="shared" ca="1" si="54"/>
        <v/>
      </c>
      <c r="AD245" s="190" t="str">
        <f t="shared" ca="1" si="55"/>
        <v/>
      </c>
      <c r="AE245" s="191" t="str">
        <f t="shared" ca="1" si="45"/>
        <v/>
      </c>
      <c r="AF245" s="191" t="str">
        <f t="shared" ca="1" si="46"/>
        <v/>
      </c>
      <c r="AG245" s="191"/>
      <c r="AH245" s="192">
        <f t="shared" ca="1" si="56"/>
        <v>0</v>
      </c>
      <c r="AI245" s="233" t="str">
        <f t="shared" ca="1" si="48"/>
        <v/>
      </c>
    </row>
    <row r="246" spans="19:35">
      <c r="S246">
        <f t="shared" ca="1" si="49"/>
        <v>0</v>
      </c>
      <c r="T246">
        <f t="shared" ca="1" si="50"/>
        <v>2.02370000000005</v>
      </c>
      <c r="U246" s="200" t="s">
        <v>269</v>
      </c>
      <c r="V246">
        <f t="shared" ca="1" si="51"/>
        <v>0</v>
      </c>
      <c r="W246">
        <f t="shared" ca="1" si="52"/>
        <v>0</v>
      </c>
      <c r="X246">
        <f t="shared" ca="1" si="53"/>
        <v>0</v>
      </c>
      <c r="AB246">
        <f t="shared" si="47"/>
        <v>240</v>
      </c>
      <c r="AC246" s="189" t="str">
        <f t="shared" ca="1" si="54"/>
        <v/>
      </c>
      <c r="AD246" s="190" t="str">
        <f t="shared" ca="1" si="55"/>
        <v/>
      </c>
      <c r="AE246" s="191" t="str">
        <f t="shared" ca="1" si="45"/>
        <v/>
      </c>
      <c r="AF246" s="191" t="str">
        <f t="shared" ca="1" si="46"/>
        <v/>
      </c>
      <c r="AG246" s="191"/>
      <c r="AH246" s="192">
        <f t="shared" ca="1" si="56"/>
        <v>0</v>
      </c>
      <c r="AI246" s="233" t="str">
        <f t="shared" ca="1" si="48"/>
        <v/>
      </c>
    </row>
    <row r="247" spans="19:35">
      <c r="S247">
        <f t="shared" ca="1" si="49"/>
        <v>0</v>
      </c>
      <c r="T247">
        <f t="shared" ca="1" si="50"/>
        <v>2.0238000000000502</v>
      </c>
      <c r="U247" s="200" t="s">
        <v>269</v>
      </c>
      <c r="V247">
        <f t="shared" ca="1" si="51"/>
        <v>0</v>
      </c>
      <c r="W247">
        <f t="shared" ca="1" si="52"/>
        <v>0</v>
      </c>
      <c r="X247">
        <f t="shared" ca="1" si="53"/>
        <v>0</v>
      </c>
      <c r="AB247">
        <f t="shared" si="47"/>
        <v>241</v>
      </c>
      <c r="AC247" s="189" t="str">
        <f t="shared" ca="1" si="54"/>
        <v/>
      </c>
      <c r="AD247" s="190" t="str">
        <f t="shared" ca="1" si="55"/>
        <v/>
      </c>
      <c r="AE247" s="191" t="str">
        <f t="shared" ca="1" si="45"/>
        <v/>
      </c>
      <c r="AF247" s="191" t="str">
        <f t="shared" ca="1" si="46"/>
        <v/>
      </c>
      <c r="AG247" s="191"/>
      <c r="AH247" s="192">
        <f t="shared" ca="1" si="56"/>
        <v>0</v>
      </c>
      <c r="AI247" s="233" t="str">
        <f t="shared" ca="1" si="48"/>
        <v/>
      </c>
    </row>
    <row r="248" spans="19:35">
      <c r="S248">
        <f t="shared" ca="1" si="49"/>
        <v>0</v>
      </c>
      <c r="T248">
        <f t="shared" ca="1" si="50"/>
        <v>2.0239000000000504</v>
      </c>
      <c r="U248" s="200" t="s">
        <v>269</v>
      </c>
      <c r="V248">
        <f t="shared" ca="1" si="51"/>
        <v>0</v>
      </c>
      <c r="W248">
        <f t="shared" ca="1" si="52"/>
        <v>0</v>
      </c>
      <c r="X248">
        <f t="shared" ca="1" si="53"/>
        <v>0</v>
      </c>
      <c r="AB248">
        <f t="shared" si="47"/>
        <v>242</v>
      </c>
      <c r="AC248" s="189" t="str">
        <f t="shared" ca="1" si="54"/>
        <v/>
      </c>
      <c r="AD248" s="190" t="str">
        <f t="shared" ca="1" si="55"/>
        <v/>
      </c>
      <c r="AE248" s="191" t="str">
        <f t="shared" ca="1" si="45"/>
        <v/>
      </c>
      <c r="AF248" s="191" t="str">
        <f t="shared" ca="1" si="46"/>
        <v/>
      </c>
      <c r="AG248" s="191"/>
      <c r="AH248" s="192">
        <f t="shared" ca="1" si="56"/>
        <v>0</v>
      </c>
      <c r="AI248" s="233" t="str">
        <f t="shared" ca="1" si="48"/>
        <v/>
      </c>
    </row>
    <row r="249" spans="19:35">
      <c r="S249">
        <f t="shared" ca="1" si="49"/>
        <v>0</v>
      </c>
      <c r="T249">
        <f t="shared" ca="1" si="50"/>
        <v>2.0240000000000506</v>
      </c>
      <c r="U249" s="200" t="s">
        <v>269</v>
      </c>
      <c r="V249">
        <f t="shared" ca="1" si="51"/>
        <v>0</v>
      </c>
      <c r="W249">
        <f t="shared" ca="1" si="52"/>
        <v>0</v>
      </c>
      <c r="X249">
        <f t="shared" ca="1" si="53"/>
        <v>0</v>
      </c>
      <c r="AB249">
        <f t="shared" si="47"/>
        <v>243</v>
      </c>
      <c r="AC249" s="189" t="str">
        <f t="shared" ca="1" si="54"/>
        <v/>
      </c>
      <c r="AD249" s="190" t="str">
        <f t="shared" ca="1" si="55"/>
        <v/>
      </c>
      <c r="AE249" s="191" t="str">
        <f t="shared" ca="1" si="45"/>
        <v/>
      </c>
      <c r="AF249" s="191" t="str">
        <f t="shared" ca="1" si="46"/>
        <v/>
      </c>
      <c r="AG249" s="191"/>
      <c r="AH249" s="192">
        <f t="shared" ca="1" si="56"/>
        <v>0</v>
      </c>
      <c r="AI249" s="233" t="str">
        <f t="shared" ca="1" si="48"/>
        <v/>
      </c>
    </row>
    <row r="250" spans="19:35">
      <c r="S250">
        <f t="shared" ca="1" si="49"/>
        <v>0</v>
      </c>
      <c r="T250">
        <f t="shared" ca="1" si="50"/>
        <v>2.0241000000000509</v>
      </c>
      <c r="U250" s="200" t="s">
        <v>269</v>
      </c>
      <c r="V250">
        <f t="shared" ca="1" si="51"/>
        <v>0</v>
      </c>
      <c r="W250">
        <f t="shared" ca="1" si="52"/>
        <v>0</v>
      </c>
      <c r="X250">
        <f t="shared" ca="1" si="53"/>
        <v>0</v>
      </c>
      <c r="AB250">
        <f t="shared" si="47"/>
        <v>244</v>
      </c>
      <c r="AC250" s="189" t="str">
        <f t="shared" ca="1" si="54"/>
        <v/>
      </c>
      <c r="AD250" s="190" t="str">
        <f t="shared" ca="1" si="55"/>
        <v/>
      </c>
      <c r="AE250" s="191" t="str">
        <f t="shared" ca="1" si="45"/>
        <v/>
      </c>
      <c r="AF250" s="191" t="str">
        <f t="shared" ca="1" si="46"/>
        <v/>
      </c>
      <c r="AG250" s="191"/>
      <c r="AH250" s="192">
        <f t="shared" ca="1" si="56"/>
        <v>0</v>
      </c>
      <c r="AI250" s="233" t="str">
        <f t="shared" ca="1" si="48"/>
        <v/>
      </c>
    </row>
    <row r="251" spans="19:35">
      <c r="S251">
        <f t="shared" ca="1" si="49"/>
        <v>0</v>
      </c>
      <c r="T251">
        <f t="shared" ca="1" si="50"/>
        <v>2.0242000000000511</v>
      </c>
      <c r="U251" s="200" t="s">
        <v>269</v>
      </c>
      <c r="V251">
        <f t="shared" ca="1" si="51"/>
        <v>0</v>
      </c>
      <c r="W251">
        <f t="shared" ca="1" si="52"/>
        <v>0</v>
      </c>
      <c r="X251">
        <f t="shared" ca="1" si="53"/>
        <v>0</v>
      </c>
      <c r="AB251">
        <f t="shared" si="47"/>
        <v>245</v>
      </c>
      <c r="AC251" s="189" t="str">
        <f t="shared" ca="1" si="54"/>
        <v/>
      </c>
      <c r="AD251" s="190" t="str">
        <f t="shared" ca="1" si="55"/>
        <v/>
      </c>
      <c r="AE251" s="191" t="str">
        <f t="shared" ca="1" si="45"/>
        <v/>
      </c>
      <c r="AF251" s="191" t="str">
        <f t="shared" ca="1" si="46"/>
        <v/>
      </c>
      <c r="AG251" s="191"/>
      <c r="AH251" s="192">
        <f t="shared" ca="1" si="56"/>
        <v>0</v>
      </c>
      <c r="AI251" s="233" t="str">
        <f t="shared" ca="1" si="48"/>
        <v/>
      </c>
    </row>
    <row r="252" spans="19:35">
      <c r="S252">
        <f t="shared" ca="1" si="49"/>
        <v>0</v>
      </c>
      <c r="T252">
        <f t="shared" ca="1" si="50"/>
        <v>2.0243000000000513</v>
      </c>
      <c r="U252" s="200" t="s">
        <v>269</v>
      </c>
      <c r="V252">
        <f t="shared" ca="1" si="51"/>
        <v>0</v>
      </c>
      <c r="W252">
        <f t="shared" ca="1" si="52"/>
        <v>0</v>
      </c>
      <c r="X252">
        <f t="shared" ca="1" si="53"/>
        <v>0</v>
      </c>
      <c r="AB252">
        <f t="shared" si="47"/>
        <v>246</v>
      </c>
      <c r="AC252" s="189" t="str">
        <f t="shared" ca="1" si="54"/>
        <v/>
      </c>
      <c r="AD252" s="190" t="str">
        <f t="shared" ca="1" si="55"/>
        <v/>
      </c>
      <c r="AE252" s="191" t="str">
        <f t="shared" ca="1" si="45"/>
        <v/>
      </c>
      <c r="AF252" s="191" t="str">
        <f t="shared" ca="1" si="46"/>
        <v/>
      </c>
      <c r="AG252" s="191"/>
      <c r="AH252" s="192">
        <f t="shared" ca="1" si="56"/>
        <v>0</v>
      </c>
      <c r="AI252" s="233" t="str">
        <f t="shared" ca="1" si="48"/>
        <v/>
      </c>
    </row>
    <row r="253" spans="19:35">
      <c r="S253">
        <f t="shared" ca="1" si="49"/>
        <v>0</v>
      </c>
      <c r="T253">
        <f t="shared" ca="1" si="50"/>
        <v>2.0244000000000515</v>
      </c>
      <c r="U253" s="200" t="s">
        <v>269</v>
      </c>
      <c r="V253">
        <f t="shared" ca="1" si="51"/>
        <v>0</v>
      </c>
      <c r="W253">
        <f t="shared" ca="1" si="52"/>
        <v>0</v>
      </c>
      <c r="X253">
        <f t="shared" ca="1" si="53"/>
        <v>0</v>
      </c>
      <c r="AB253">
        <f t="shared" si="47"/>
        <v>247</v>
      </c>
      <c r="AC253" s="189" t="str">
        <f t="shared" ca="1" si="54"/>
        <v/>
      </c>
      <c r="AD253" s="190" t="str">
        <f t="shared" ca="1" si="55"/>
        <v/>
      </c>
      <c r="AE253" s="191" t="str">
        <f t="shared" ca="1" si="45"/>
        <v/>
      </c>
      <c r="AF253" s="191" t="str">
        <f t="shared" ca="1" si="46"/>
        <v/>
      </c>
      <c r="AG253" s="191"/>
      <c r="AH253" s="192">
        <f t="shared" ca="1" si="56"/>
        <v>0</v>
      </c>
      <c r="AI253" s="233" t="str">
        <f t="shared" ca="1" si="48"/>
        <v/>
      </c>
    </row>
    <row r="254" spans="19:35">
      <c r="S254">
        <f t="shared" ca="1" si="49"/>
        <v>0</v>
      </c>
      <c r="T254">
        <f t="shared" ca="1" si="50"/>
        <v>2.0245000000000517</v>
      </c>
      <c r="U254" s="200" t="s">
        <v>269</v>
      </c>
      <c r="V254">
        <f t="shared" ca="1" si="51"/>
        <v>0</v>
      </c>
      <c r="W254">
        <f t="shared" ca="1" si="52"/>
        <v>0</v>
      </c>
      <c r="X254">
        <f t="shared" ca="1" si="53"/>
        <v>0</v>
      </c>
      <c r="AB254">
        <f t="shared" si="47"/>
        <v>248</v>
      </c>
      <c r="AC254" s="189" t="str">
        <f t="shared" ca="1" si="54"/>
        <v/>
      </c>
      <c r="AD254" s="190" t="str">
        <f t="shared" ca="1" si="55"/>
        <v/>
      </c>
      <c r="AE254" s="191" t="str">
        <f t="shared" ca="1" si="45"/>
        <v/>
      </c>
      <c r="AF254" s="191" t="str">
        <f t="shared" ca="1" si="46"/>
        <v/>
      </c>
      <c r="AG254" s="191"/>
      <c r="AH254" s="192">
        <f t="shared" ca="1" si="56"/>
        <v>0</v>
      </c>
      <c r="AI254" s="233" t="str">
        <f t="shared" ca="1" si="48"/>
        <v/>
      </c>
    </row>
    <row r="255" spans="19:35">
      <c r="S255">
        <f t="shared" ca="1" si="49"/>
        <v>0</v>
      </c>
      <c r="T255">
        <f t="shared" ca="1" si="50"/>
        <v>2.0246000000000519</v>
      </c>
      <c r="U255" s="200" t="s">
        <v>269</v>
      </c>
      <c r="V255">
        <f t="shared" ca="1" si="51"/>
        <v>0</v>
      </c>
      <c r="W255">
        <f t="shared" ca="1" si="52"/>
        <v>0</v>
      </c>
      <c r="X255">
        <f t="shared" ca="1" si="53"/>
        <v>0</v>
      </c>
      <c r="AB255">
        <f t="shared" si="47"/>
        <v>249</v>
      </c>
      <c r="AC255" s="189" t="str">
        <f t="shared" ca="1" si="54"/>
        <v/>
      </c>
      <c r="AD255" s="190" t="str">
        <f t="shared" ca="1" si="55"/>
        <v/>
      </c>
      <c r="AE255" s="191" t="str">
        <f t="shared" ca="1" si="45"/>
        <v/>
      </c>
      <c r="AF255" s="191" t="str">
        <f t="shared" ca="1" si="46"/>
        <v/>
      </c>
      <c r="AG255" s="191"/>
      <c r="AH255" s="192">
        <f t="shared" ca="1" si="56"/>
        <v>0</v>
      </c>
      <c r="AI255" s="233" t="str">
        <f t="shared" ca="1" si="48"/>
        <v/>
      </c>
    </row>
    <row r="256" spans="19:35">
      <c r="S256">
        <f t="shared" ca="1" si="49"/>
        <v>0</v>
      </c>
      <c r="T256">
        <f t="shared" ca="1" si="50"/>
        <v>2.0247000000000521</v>
      </c>
      <c r="U256" s="200" t="s">
        <v>269</v>
      </c>
      <c r="V256">
        <f t="shared" ca="1" si="51"/>
        <v>0</v>
      </c>
      <c r="W256">
        <f t="shared" ca="1" si="52"/>
        <v>0</v>
      </c>
      <c r="X256">
        <f t="shared" ca="1" si="53"/>
        <v>0</v>
      </c>
      <c r="AB256">
        <f t="shared" si="47"/>
        <v>250</v>
      </c>
      <c r="AC256" s="189" t="str">
        <f t="shared" ca="1" si="54"/>
        <v/>
      </c>
      <c r="AD256" s="190" t="str">
        <f t="shared" ca="1" si="55"/>
        <v/>
      </c>
      <c r="AE256" s="191" t="str">
        <f t="shared" ca="1" si="45"/>
        <v/>
      </c>
      <c r="AF256" s="191" t="str">
        <f t="shared" ca="1" si="46"/>
        <v/>
      </c>
      <c r="AG256" s="191"/>
      <c r="AH256" s="192">
        <f t="shared" ca="1" si="56"/>
        <v>0</v>
      </c>
      <c r="AI256" s="233" t="str">
        <f t="shared" ca="1" si="48"/>
        <v/>
      </c>
    </row>
    <row r="257" spans="19:35">
      <c r="S257">
        <f t="shared" ca="1" si="49"/>
        <v>0</v>
      </c>
      <c r="T257">
        <f t="shared" ca="1" si="50"/>
        <v>2.0248000000000523</v>
      </c>
      <c r="U257" s="200" t="s">
        <v>269</v>
      </c>
      <c r="V257">
        <f t="shared" ca="1" si="51"/>
        <v>0</v>
      </c>
      <c r="W257">
        <f t="shared" ca="1" si="52"/>
        <v>0</v>
      </c>
      <c r="X257">
        <f t="shared" ca="1" si="53"/>
        <v>0</v>
      </c>
      <c r="AB257">
        <f t="shared" si="47"/>
        <v>251</v>
      </c>
      <c r="AC257" s="189" t="str">
        <f t="shared" ca="1" si="54"/>
        <v/>
      </c>
      <c r="AD257" s="190" t="str">
        <f t="shared" ca="1" si="55"/>
        <v/>
      </c>
      <c r="AE257" s="191" t="str">
        <f t="shared" ca="1" si="45"/>
        <v/>
      </c>
      <c r="AF257" s="191" t="str">
        <f t="shared" ca="1" si="46"/>
        <v/>
      </c>
      <c r="AG257" s="191"/>
      <c r="AH257" s="192">
        <f t="shared" ca="1" si="56"/>
        <v>0</v>
      </c>
      <c r="AI257" s="233" t="str">
        <f t="shared" ca="1" si="48"/>
        <v/>
      </c>
    </row>
    <row r="258" spans="19:35">
      <c r="S258">
        <f t="shared" ca="1" si="49"/>
        <v>0</v>
      </c>
      <c r="T258">
        <f t="shared" ca="1" si="50"/>
        <v>2.0249000000000525</v>
      </c>
      <c r="U258" s="200" t="s">
        <v>269</v>
      </c>
      <c r="V258">
        <f t="shared" ca="1" si="51"/>
        <v>0</v>
      </c>
      <c r="W258">
        <f t="shared" ca="1" si="52"/>
        <v>0</v>
      </c>
      <c r="X258">
        <f t="shared" ca="1" si="53"/>
        <v>0</v>
      </c>
      <c r="AB258">
        <f t="shared" si="47"/>
        <v>252</v>
      </c>
      <c r="AC258" s="189" t="str">
        <f t="shared" ca="1" si="54"/>
        <v/>
      </c>
      <c r="AD258" s="190" t="str">
        <f t="shared" ca="1" si="55"/>
        <v/>
      </c>
      <c r="AE258" s="191" t="str">
        <f t="shared" ca="1" si="45"/>
        <v/>
      </c>
      <c r="AF258" s="191" t="str">
        <f t="shared" ca="1" si="46"/>
        <v/>
      </c>
      <c r="AG258" s="191"/>
      <c r="AH258" s="192">
        <f t="shared" ca="1" si="56"/>
        <v>0</v>
      </c>
      <c r="AI258" s="233" t="str">
        <f t="shared" ca="1" si="48"/>
        <v/>
      </c>
    </row>
    <row r="259" spans="19:35">
      <c r="S259">
        <f t="shared" ca="1" si="49"/>
        <v>0</v>
      </c>
      <c r="T259">
        <f t="shared" ca="1" si="50"/>
        <v>2.0250000000000528</v>
      </c>
      <c r="U259" s="200" t="s">
        <v>269</v>
      </c>
      <c r="V259">
        <f t="shared" ca="1" si="51"/>
        <v>0</v>
      </c>
      <c r="W259">
        <f t="shared" ca="1" si="52"/>
        <v>0</v>
      </c>
      <c r="X259">
        <f t="shared" ca="1" si="53"/>
        <v>0</v>
      </c>
      <c r="AB259">
        <f t="shared" si="47"/>
        <v>253</v>
      </c>
      <c r="AC259" s="189" t="str">
        <f t="shared" ca="1" si="54"/>
        <v/>
      </c>
      <c r="AD259" s="190" t="str">
        <f t="shared" ca="1" si="55"/>
        <v/>
      </c>
      <c r="AE259" s="191" t="str">
        <f t="shared" ca="1" si="45"/>
        <v/>
      </c>
      <c r="AF259" s="191" t="str">
        <f t="shared" ca="1" si="46"/>
        <v/>
      </c>
      <c r="AG259" s="191"/>
      <c r="AH259" s="192">
        <f t="shared" ca="1" si="56"/>
        <v>0</v>
      </c>
      <c r="AI259" s="233" t="str">
        <f t="shared" ca="1" si="48"/>
        <v/>
      </c>
    </row>
    <row r="260" spans="19:35">
      <c r="S260">
        <f t="shared" ca="1" si="49"/>
        <v>0</v>
      </c>
      <c r="T260">
        <f t="shared" ca="1" si="50"/>
        <v>2.025100000000053</v>
      </c>
      <c r="U260" s="200" t="s">
        <v>269</v>
      </c>
      <c r="V260">
        <f t="shared" ca="1" si="51"/>
        <v>0</v>
      </c>
      <c r="W260">
        <f t="shared" ca="1" si="52"/>
        <v>0</v>
      </c>
      <c r="X260">
        <f t="shared" ca="1" si="53"/>
        <v>0</v>
      </c>
      <c r="AB260">
        <f t="shared" si="47"/>
        <v>254</v>
      </c>
      <c r="AC260" s="189" t="str">
        <f t="shared" ca="1" si="54"/>
        <v/>
      </c>
      <c r="AD260" s="190" t="str">
        <f t="shared" ca="1" si="55"/>
        <v/>
      </c>
      <c r="AE260" s="191" t="str">
        <f t="shared" ca="1" si="45"/>
        <v/>
      </c>
      <c r="AF260" s="191" t="str">
        <f t="shared" ca="1" si="46"/>
        <v/>
      </c>
      <c r="AG260" s="191"/>
      <c r="AH260" s="192">
        <f t="shared" ca="1" si="56"/>
        <v>0</v>
      </c>
      <c r="AI260" s="233" t="str">
        <f t="shared" ca="1" si="48"/>
        <v/>
      </c>
    </row>
    <row r="261" spans="19:35">
      <c r="S261">
        <f t="shared" ca="1" si="49"/>
        <v>0</v>
      </c>
      <c r="T261">
        <f t="shared" ca="1" si="50"/>
        <v>2.0252000000000532</v>
      </c>
      <c r="U261" s="200" t="s">
        <v>269</v>
      </c>
      <c r="V261">
        <f t="shared" ca="1" si="51"/>
        <v>0</v>
      </c>
      <c r="W261">
        <f t="shared" ca="1" si="52"/>
        <v>0</v>
      </c>
      <c r="X261">
        <f t="shared" ca="1" si="53"/>
        <v>0</v>
      </c>
      <c r="AB261">
        <f t="shared" si="47"/>
        <v>255</v>
      </c>
      <c r="AC261" s="189" t="str">
        <f t="shared" ca="1" si="54"/>
        <v/>
      </c>
      <c r="AD261" s="190" t="str">
        <f t="shared" ca="1" si="55"/>
        <v/>
      </c>
      <c r="AE261" s="191" t="str">
        <f t="shared" ca="1" si="45"/>
        <v/>
      </c>
      <c r="AF261" s="191" t="str">
        <f t="shared" ca="1" si="46"/>
        <v/>
      </c>
      <c r="AG261" s="191"/>
      <c r="AH261" s="192">
        <f t="shared" ca="1" si="56"/>
        <v>0</v>
      </c>
      <c r="AI261" s="233" t="str">
        <f t="shared" ca="1" si="48"/>
        <v/>
      </c>
    </row>
    <row r="262" spans="19:35">
      <c r="S262">
        <f t="shared" ca="1" si="49"/>
        <v>0</v>
      </c>
      <c r="T262">
        <f t="shared" ca="1" si="50"/>
        <v>2.0253000000000534</v>
      </c>
      <c r="U262" s="200" t="s">
        <v>269</v>
      </c>
      <c r="V262">
        <f t="shared" ca="1" si="51"/>
        <v>0</v>
      </c>
      <c r="W262">
        <f t="shared" ca="1" si="52"/>
        <v>0</v>
      </c>
      <c r="X262">
        <f t="shared" ca="1" si="53"/>
        <v>0</v>
      </c>
      <c r="AB262">
        <f t="shared" si="47"/>
        <v>256</v>
      </c>
      <c r="AC262" s="189" t="str">
        <f t="shared" ca="1" si="54"/>
        <v/>
      </c>
      <c r="AD262" s="190" t="str">
        <f t="shared" ca="1" si="55"/>
        <v/>
      </c>
      <c r="AE262" s="191" t="str">
        <f t="shared" ca="1" si="45"/>
        <v/>
      </c>
      <c r="AF262" s="191" t="str">
        <f t="shared" ca="1" si="46"/>
        <v/>
      </c>
      <c r="AG262" s="191"/>
      <c r="AH262" s="192">
        <f t="shared" ca="1" si="56"/>
        <v>0</v>
      </c>
      <c r="AI262" s="233" t="str">
        <f t="shared" ca="1" si="48"/>
        <v/>
      </c>
    </row>
    <row r="263" spans="19:35">
      <c r="S263">
        <f t="shared" ca="1" si="49"/>
        <v>0</v>
      </c>
      <c r="T263">
        <f t="shared" ca="1" si="50"/>
        <v>2.0254000000000536</v>
      </c>
      <c r="U263" s="200" t="s">
        <v>269</v>
      </c>
      <c r="V263">
        <f t="shared" ca="1" si="51"/>
        <v>0</v>
      </c>
      <c r="W263">
        <f t="shared" ca="1" si="52"/>
        <v>0</v>
      </c>
      <c r="X263">
        <f t="shared" ca="1" si="53"/>
        <v>0</v>
      </c>
      <c r="AB263">
        <f t="shared" si="47"/>
        <v>257</v>
      </c>
      <c r="AC263" s="189" t="str">
        <f t="shared" ca="1" si="54"/>
        <v/>
      </c>
      <c r="AD263" s="190" t="str">
        <f t="shared" ca="1" si="55"/>
        <v/>
      </c>
      <c r="AE263" s="191" t="str">
        <f t="shared" ca="1" si="45"/>
        <v/>
      </c>
      <c r="AF263" s="191" t="str">
        <f t="shared" ca="1" si="46"/>
        <v/>
      </c>
      <c r="AG263" s="191"/>
      <c r="AH263" s="192">
        <f t="shared" ca="1" si="56"/>
        <v>0</v>
      </c>
      <c r="AI263" s="233" t="str">
        <f t="shared" ca="1" si="48"/>
        <v/>
      </c>
    </row>
    <row r="264" spans="19:35">
      <c r="S264">
        <f t="shared" ca="1" si="49"/>
        <v>0</v>
      </c>
      <c r="T264">
        <f t="shared" ca="1" si="50"/>
        <v>2.0255000000000538</v>
      </c>
      <c r="U264" s="200" t="s">
        <v>269</v>
      </c>
      <c r="V264">
        <f t="shared" ca="1" si="51"/>
        <v>0</v>
      </c>
      <c r="W264">
        <f t="shared" ca="1" si="52"/>
        <v>0</v>
      </c>
      <c r="X264">
        <f t="shared" ca="1" si="53"/>
        <v>0</v>
      </c>
      <c r="AB264">
        <f>AB263+1</f>
        <v>258</v>
      </c>
      <c r="AC264" s="189" t="str">
        <f t="shared" ca="1" si="54"/>
        <v/>
      </c>
      <c r="AD264" s="190" t="str">
        <f t="shared" ca="1" si="55"/>
        <v/>
      </c>
      <c r="AE264" s="191" t="str">
        <f t="shared" ca="1" si="45"/>
        <v/>
      </c>
      <c r="AF264" s="191" t="str">
        <f t="shared" ca="1" si="46"/>
        <v/>
      </c>
      <c r="AG264" s="191"/>
      <c r="AH264" s="192">
        <f t="shared" ca="1" si="56"/>
        <v>0</v>
      </c>
      <c r="AI264" s="233" t="str">
        <f ca="1">IF(AB264&gt;$U$4,"",CONCATENATE("Eröffnung: ",VLOOKUP(AB264,$T$6:$X$325,4)))</f>
        <v/>
      </c>
    </row>
    <row r="265" spans="19:35">
      <c r="S265">
        <f t="shared" ca="1" si="49"/>
        <v>0</v>
      </c>
      <c r="T265">
        <f t="shared" ca="1" si="50"/>
        <v>2.025600000000054</v>
      </c>
      <c r="U265" s="200" t="s">
        <v>269</v>
      </c>
      <c r="V265">
        <f t="shared" ca="1" si="51"/>
        <v>0</v>
      </c>
      <c r="W265">
        <f t="shared" ca="1" si="52"/>
        <v>0</v>
      </c>
      <c r="X265">
        <f t="shared" ca="1" si="53"/>
        <v>0</v>
      </c>
      <c r="AB265">
        <f>AB264+1</f>
        <v>259</v>
      </c>
      <c r="AC265" s="189" t="str">
        <f t="shared" ca="1" si="54"/>
        <v/>
      </c>
      <c r="AD265" s="190" t="str">
        <f t="shared" ca="1" si="55"/>
        <v/>
      </c>
      <c r="AE265" s="191" t="str">
        <f t="shared" ca="1" si="45"/>
        <v/>
      </c>
      <c r="AF265" s="191" t="str">
        <f t="shared" ca="1" si="46"/>
        <v/>
      </c>
      <c r="AG265" s="191"/>
      <c r="AH265" s="192">
        <f t="shared" ca="1" si="56"/>
        <v>0</v>
      </c>
      <c r="AI265" s="233" t="str">
        <f ca="1">IF(AB265&gt;$U$4,"",CONCATENATE("Eröffnung: ",VLOOKUP(AB265,$T$6:$X$325,4)))</f>
        <v/>
      </c>
    </row>
    <row r="266" spans="19:35">
      <c r="S266">
        <f t="shared" ca="1" si="49"/>
        <v>0</v>
      </c>
      <c r="T266">
        <f t="shared" ca="1" si="50"/>
        <v>2.0257000000000542</v>
      </c>
      <c r="U266" s="200" t="s">
        <v>269</v>
      </c>
      <c r="V266">
        <f t="shared" ca="1" si="51"/>
        <v>0</v>
      </c>
      <c r="W266">
        <f t="shared" ca="1" si="52"/>
        <v>0</v>
      </c>
      <c r="X266">
        <f t="shared" ca="1" si="53"/>
        <v>0</v>
      </c>
      <c r="AB266">
        <f>AB265+1</f>
        <v>260</v>
      </c>
      <c r="AC266" s="189" t="str">
        <f t="shared" ca="1" si="54"/>
        <v/>
      </c>
      <c r="AD266" s="190" t="str">
        <f t="shared" ca="1" si="55"/>
        <v/>
      </c>
      <c r="AE266" s="191" t="str">
        <f t="shared" ca="1" si="45"/>
        <v/>
      </c>
      <c r="AF266" s="191" t="str">
        <f t="shared" ca="1" si="46"/>
        <v/>
      </c>
      <c r="AG266" s="191"/>
      <c r="AH266" s="192">
        <f t="shared" ca="1" si="56"/>
        <v>0</v>
      </c>
      <c r="AI266" s="233" t="str">
        <f ca="1">IF(AB266&gt;$U$4,"",CONCATENATE("Eröffnung: ",VLOOKUP(AB266,$T$6:$X$325,4)))</f>
        <v/>
      </c>
    </row>
    <row r="267" spans="19:35">
      <c r="S267">
        <f t="shared" ca="1" si="49"/>
        <v>0</v>
      </c>
      <c r="T267">
        <f t="shared" ca="1" si="50"/>
        <v>2.0258000000000544</v>
      </c>
      <c r="U267" s="200" t="s">
        <v>269</v>
      </c>
      <c r="V267">
        <f t="shared" ca="1" si="51"/>
        <v>0</v>
      </c>
      <c r="W267">
        <f t="shared" ca="1" si="52"/>
        <v>0</v>
      </c>
      <c r="X267">
        <f t="shared" ca="1" si="53"/>
        <v>0</v>
      </c>
    </row>
    <row r="268" spans="19:35">
      <c r="S268">
        <f t="shared" ca="1" si="49"/>
        <v>0</v>
      </c>
      <c r="T268">
        <f t="shared" ca="1" si="50"/>
        <v>2.0259000000000547</v>
      </c>
      <c r="U268" s="200" t="s">
        <v>269</v>
      </c>
      <c r="V268">
        <f t="shared" ca="1" si="51"/>
        <v>0</v>
      </c>
      <c r="W268">
        <f t="shared" ca="1" si="52"/>
        <v>0</v>
      </c>
      <c r="X268">
        <f t="shared" ca="1" si="53"/>
        <v>0</v>
      </c>
    </row>
    <row r="269" spans="19:35">
      <c r="S269">
        <f t="shared" ca="1" si="49"/>
        <v>0</v>
      </c>
      <c r="T269">
        <f t="shared" ca="1" si="50"/>
        <v>2.0260000000000549</v>
      </c>
      <c r="U269" s="200" t="s">
        <v>269</v>
      </c>
      <c r="V269">
        <f t="shared" ca="1" si="51"/>
        <v>0</v>
      </c>
      <c r="W269">
        <f t="shared" ca="1" si="52"/>
        <v>0</v>
      </c>
      <c r="X269">
        <f t="shared" ca="1" si="53"/>
        <v>0</v>
      </c>
    </row>
    <row r="270" spans="19:35">
      <c r="S270">
        <f t="shared" ca="1" si="49"/>
        <v>0</v>
      </c>
      <c r="T270">
        <f t="shared" ca="1" si="50"/>
        <v>2.0261000000000551</v>
      </c>
      <c r="U270" s="200" t="s">
        <v>269</v>
      </c>
      <c r="V270">
        <f t="shared" ca="1" si="51"/>
        <v>0</v>
      </c>
      <c r="W270">
        <f t="shared" ca="1" si="52"/>
        <v>0</v>
      </c>
      <c r="X270">
        <f t="shared" ca="1" si="53"/>
        <v>0</v>
      </c>
    </row>
    <row r="271" spans="19:35">
      <c r="S271">
        <f t="shared" ca="1" si="49"/>
        <v>0</v>
      </c>
      <c r="T271">
        <f t="shared" ca="1" si="50"/>
        <v>2.0262000000000553</v>
      </c>
      <c r="U271" s="200" t="s">
        <v>269</v>
      </c>
      <c r="V271">
        <f t="shared" ca="1" si="51"/>
        <v>0</v>
      </c>
      <c r="W271">
        <f t="shared" ca="1" si="52"/>
        <v>0</v>
      </c>
      <c r="X271">
        <f t="shared" ca="1" si="53"/>
        <v>0</v>
      </c>
    </row>
    <row r="272" spans="19:35">
      <c r="S272">
        <f t="shared" ca="1" si="49"/>
        <v>0</v>
      </c>
      <c r="T272">
        <f t="shared" ca="1" si="50"/>
        <v>2.0263000000000555</v>
      </c>
      <c r="U272" s="200" t="s">
        <v>269</v>
      </c>
      <c r="V272">
        <f t="shared" ca="1" si="51"/>
        <v>0</v>
      </c>
      <c r="W272">
        <f t="shared" ca="1" si="52"/>
        <v>0</v>
      </c>
      <c r="X272">
        <f t="shared" ca="1" si="53"/>
        <v>0</v>
      </c>
    </row>
    <row r="273" spans="19:24">
      <c r="S273">
        <f t="shared" ca="1" si="49"/>
        <v>0</v>
      </c>
      <c r="T273">
        <f t="shared" ca="1" si="50"/>
        <v>2.0264000000000557</v>
      </c>
      <c r="U273" s="200" t="s">
        <v>269</v>
      </c>
      <c r="V273">
        <f t="shared" ca="1" si="51"/>
        <v>0</v>
      </c>
      <c r="W273">
        <f t="shared" ca="1" si="52"/>
        <v>0</v>
      </c>
      <c r="X273">
        <f t="shared" ca="1" si="53"/>
        <v>0</v>
      </c>
    </row>
    <row r="274" spans="19:24">
      <c r="S274">
        <f t="shared" ca="1" si="49"/>
        <v>0</v>
      </c>
      <c r="T274">
        <f t="shared" ca="1" si="50"/>
        <v>2.0265000000000559</v>
      </c>
      <c r="U274" s="200" t="s">
        <v>269</v>
      </c>
      <c r="V274">
        <f t="shared" ca="1" si="51"/>
        <v>0</v>
      </c>
      <c r="W274">
        <f t="shared" ca="1" si="52"/>
        <v>0</v>
      </c>
      <c r="X274">
        <f t="shared" ca="1" si="53"/>
        <v>0</v>
      </c>
    </row>
    <row r="275" spans="19:24">
      <c r="S275">
        <f t="shared" ca="1" si="49"/>
        <v>0</v>
      </c>
      <c r="T275">
        <f t="shared" ca="1" si="50"/>
        <v>2.0266000000000561</v>
      </c>
      <c r="U275" s="200" t="s">
        <v>269</v>
      </c>
      <c r="V275">
        <f t="shared" ca="1" si="51"/>
        <v>0</v>
      </c>
      <c r="W275">
        <f t="shared" ca="1" si="52"/>
        <v>0</v>
      </c>
      <c r="X275">
        <f t="shared" ca="1" si="53"/>
        <v>0</v>
      </c>
    </row>
    <row r="276" spans="19:24">
      <c r="S276">
        <f t="shared" ca="1" si="49"/>
        <v>0</v>
      </c>
      <c r="T276">
        <f t="shared" ca="1" si="50"/>
        <v>2.0267000000000563</v>
      </c>
      <c r="U276" s="200" t="s">
        <v>269</v>
      </c>
      <c r="V276">
        <f t="shared" ca="1" si="51"/>
        <v>0</v>
      </c>
      <c r="W276">
        <f t="shared" ca="1" si="52"/>
        <v>0</v>
      </c>
      <c r="X276">
        <f t="shared" ca="1" si="53"/>
        <v>0</v>
      </c>
    </row>
    <row r="277" spans="19:24">
      <c r="S277">
        <f t="shared" ca="1" si="49"/>
        <v>0</v>
      </c>
      <c r="T277">
        <f t="shared" ca="1" si="50"/>
        <v>2.0268000000000566</v>
      </c>
      <c r="U277" s="200" t="s">
        <v>269</v>
      </c>
      <c r="V277">
        <f t="shared" ca="1" si="51"/>
        <v>0</v>
      </c>
      <c r="W277">
        <f t="shared" ca="1" si="52"/>
        <v>0</v>
      </c>
      <c r="X277">
        <f t="shared" ca="1" si="53"/>
        <v>0</v>
      </c>
    </row>
    <row r="278" spans="19:24">
      <c r="S278">
        <f t="shared" ca="1" si="49"/>
        <v>0</v>
      </c>
      <c r="T278">
        <f t="shared" ca="1" si="50"/>
        <v>2.0269000000000568</v>
      </c>
      <c r="U278" s="200" t="s">
        <v>269</v>
      </c>
      <c r="V278">
        <f t="shared" ca="1" si="51"/>
        <v>0</v>
      </c>
      <c r="W278">
        <f t="shared" ca="1" si="52"/>
        <v>0</v>
      </c>
      <c r="X278">
        <f t="shared" ca="1" si="53"/>
        <v>0</v>
      </c>
    </row>
    <row r="279" spans="19:24">
      <c r="S279">
        <f t="shared" ca="1" si="49"/>
        <v>0</v>
      </c>
      <c r="T279">
        <f t="shared" ca="1" si="50"/>
        <v>2.027000000000057</v>
      </c>
      <c r="U279" s="200" t="s">
        <v>269</v>
      </c>
      <c r="V279">
        <f t="shared" ca="1" si="51"/>
        <v>0</v>
      </c>
      <c r="W279">
        <f t="shared" ca="1" si="52"/>
        <v>0</v>
      </c>
      <c r="X279">
        <f t="shared" ca="1" si="53"/>
        <v>0</v>
      </c>
    </row>
    <row r="280" spans="19:24">
      <c r="S280">
        <f t="shared" ca="1" si="49"/>
        <v>0</v>
      </c>
      <c r="T280">
        <f t="shared" ca="1" si="50"/>
        <v>2.0271000000000572</v>
      </c>
      <c r="U280" s="200" t="s">
        <v>269</v>
      </c>
      <c r="V280">
        <f t="shared" ca="1" si="51"/>
        <v>0</v>
      </c>
      <c r="W280">
        <f t="shared" ca="1" si="52"/>
        <v>0</v>
      </c>
      <c r="X280">
        <f t="shared" ca="1" si="53"/>
        <v>0</v>
      </c>
    </row>
    <row r="281" spans="19:24">
      <c r="S281">
        <f t="shared" ca="1" si="49"/>
        <v>0</v>
      </c>
      <c r="T281">
        <f t="shared" ca="1" si="50"/>
        <v>2.0272000000000574</v>
      </c>
      <c r="U281" s="200" t="s">
        <v>269</v>
      </c>
      <c r="V281">
        <f t="shared" ca="1" si="51"/>
        <v>0</v>
      </c>
      <c r="W281">
        <f t="shared" ca="1" si="52"/>
        <v>0</v>
      </c>
      <c r="X281">
        <f t="shared" ca="1" si="53"/>
        <v>0</v>
      </c>
    </row>
    <row r="282" spans="19:24">
      <c r="S282">
        <f t="shared" ca="1" si="49"/>
        <v>0</v>
      </c>
      <c r="T282">
        <f t="shared" ca="1" si="50"/>
        <v>2.0273000000000576</v>
      </c>
      <c r="U282" s="200" t="s">
        <v>269</v>
      </c>
      <c r="V282">
        <f t="shared" ca="1" si="51"/>
        <v>0</v>
      </c>
      <c r="W282">
        <f t="shared" ca="1" si="52"/>
        <v>0</v>
      </c>
      <c r="X282">
        <f t="shared" ca="1" si="53"/>
        <v>0</v>
      </c>
    </row>
    <row r="283" spans="19:24">
      <c r="S283">
        <f t="shared" ca="1" si="49"/>
        <v>0</v>
      </c>
      <c r="T283">
        <f t="shared" ca="1" si="50"/>
        <v>2.0274000000000578</v>
      </c>
      <c r="U283" s="200" t="s">
        <v>269</v>
      </c>
      <c r="V283">
        <f t="shared" ca="1" si="51"/>
        <v>0</v>
      </c>
      <c r="W283">
        <f t="shared" ca="1" si="52"/>
        <v>0</v>
      </c>
      <c r="X283">
        <f t="shared" ca="1" si="53"/>
        <v>0</v>
      </c>
    </row>
    <row r="284" spans="19:24">
      <c r="S284">
        <f t="shared" ca="1" si="49"/>
        <v>0</v>
      </c>
      <c r="T284">
        <f t="shared" ca="1" si="50"/>
        <v>2.027500000000058</v>
      </c>
      <c r="U284" s="200" t="s">
        <v>269</v>
      </c>
      <c r="V284">
        <f t="shared" ca="1" si="51"/>
        <v>0</v>
      </c>
      <c r="W284">
        <f t="shared" ca="1" si="52"/>
        <v>0</v>
      </c>
      <c r="X284">
        <f t="shared" ca="1" si="53"/>
        <v>0</v>
      </c>
    </row>
    <row r="285" spans="19:24">
      <c r="S285">
        <f t="shared" ca="1" si="49"/>
        <v>0</v>
      </c>
      <c r="T285">
        <f t="shared" ca="1" si="50"/>
        <v>2.0276000000000582</v>
      </c>
      <c r="U285" s="200" t="s">
        <v>269</v>
      </c>
      <c r="V285">
        <f t="shared" ca="1" si="51"/>
        <v>0</v>
      </c>
      <c r="W285">
        <f t="shared" ca="1" si="52"/>
        <v>0</v>
      </c>
      <c r="X285">
        <f t="shared" ca="1" si="53"/>
        <v>0</v>
      </c>
    </row>
    <row r="286" spans="19:24">
      <c r="S286">
        <f t="shared" ca="1" si="49"/>
        <v>0</v>
      </c>
      <c r="T286">
        <f t="shared" ca="1" si="50"/>
        <v>2.0277000000000585</v>
      </c>
      <c r="U286" s="200" t="s">
        <v>269</v>
      </c>
      <c r="V286">
        <f t="shared" ca="1" si="51"/>
        <v>0</v>
      </c>
      <c r="W286">
        <f t="shared" ca="1" si="52"/>
        <v>0</v>
      </c>
      <c r="X286">
        <f t="shared" ca="1" si="53"/>
        <v>0</v>
      </c>
    </row>
    <row r="287" spans="19:24">
      <c r="S287">
        <f t="shared" ca="1" si="49"/>
        <v>0</v>
      </c>
      <c r="T287">
        <f t="shared" ca="1" si="50"/>
        <v>2.0278000000000587</v>
      </c>
      <c r="U287" s="200" t="s">
        <v>269</v>
      </c>
      <c r="V287">
        <f t="shared" ca="1" si="51"/>
        <v>0</v>
      </c>
      <c r="W287">
        <f t="shared" ca="1" si="52"/>
        <v>0</v>
      </c>
      <c r="X287">
        <f t="shared" ca="1" si="53"/>
        <v>0</v>
      </c>
    </row>
    <row r="288" spans="19:24">
      <c r="S288">
        <f t="shared" ca="1" si="49"/>
        <v>0</v>
      </c>
      <c r="T288">
        <f t="shared" ca="1" si="50"/>
        <v>2.0279000000000589</v>
      </c>
      <c r="U288" s="200" t="s">
        <v>269</v>
      </c>
      <c r="V288">
        <f t="shared" ca="1" si="51"/>
        <v>0</v>
      </c>
      <c r="W288">
        <f t="shared" ca="1" si="52"/>
        <v>0</v>
      </c>
      <c r="X288">
        <f t="shared" ca="1" si="53"/>
        <v>0</v>
      </c>
    </row>
    <row r="289" spans="19:24">
      <c r="S289">
        <f t="shared" ca="1" si="49"/>
        <v>0</v>
      </c>
      <c r="T289">
        <f t="shared" ca="1" si="50"/>
        <v>2.0280000000000591</v>
      </c>
      <c r="U289" s="200" t="s">
        <v>269</v>
      </c>
      <c r="V289">
        <f t="shared" ca="1" si="51"/>
        <v>0</v>
      </c>
      <c r="W289">
        <f t="shared" ca="1" si="52"/>
        <v>0</v>
      </c>
      <c r="X289">
        <f t="shared" ca="1" si="53"/>
        <v>0</v>
      </c>
    </row>
    <row r="290" spans="19:24">
      <c r="S290">
        <f t="shared" ref="S290:S325" ca="1" si="57">IF(OR(G135=0,I135=0),0,1)</f>
        <v>0</v>
      </c>
      <c r="T290">
        <f t="shared" ref="T290:T325" ca="1" si="58">IF(S290=0,T289+0.0001,ROUND(1+T289,0))</f>
        <v>2.0281000000000593</v>
      </c>
      <c r="U290" s="200" t="s">
        <v>269</v>
      </c>
      <c r="V290">
        <f t="shared" ref="V290:V325" ca="1" si="59">IF(S290&lt;&gt;0,G135,0)</f>
        <v>0</v>
      </c>
      <c r="W290">
        <f t="shared" ref="W290:W325" ca="1" si="60">IF(S290&lt;&gt;0,H135,0)</f>
        <v>0</v>
      </c>
      <c r="X290">
        <f t="shared" ref="X290:X325" ca="1" si="61">IF(S290&lt;&gt;0,I135,0)</f>
        <v>0</v>
      </c>
    </row>
    <row r="291" spans="19:24">
      <c r="S291">
        <f t="shared" ca="1" si="57"/>
        <v>0</v>
      </c>
      <c r="T291">
        <f t="shared" ca="1" si="58"/>
        <v>2.0282000000000595</v>
      </c>
      <c r="U291" s="200" t="s">
        <v>269</v>
      </c>
      <c r="V291">
        <f t="shared" ca="1" si="59"/>
        <v>0</v>
      </c>
      <c r="W291">
        <f t="shared" ca="1" si="60"/>
        <v>0</v>
      </c>
      <c r="X291">
        <f t="shared" ca="1" si="61"/>
        <v>0</v>
      </c>
    </row>
    <row r="292" spans="19:24">
      <c r="S292">
        <f t="shared" ca="1" si="57"/>
        <v>0</v>
      </c>
      <c r="T292">
        <f t="shared" ca="1" si="58"/>
        <v>2.0283000000000597</v>
      </c>
      <c r="U292" s="200" t="s">
        <v>269</v>
      </c>
      <c r="V292">
        <f t="shared" ca="1" si="59"/>
        <v>0</v>
      </c>
      <c r="W292">
        <f t="shared" ca="1" si="60"/>
        <v>0</v>
      </c>
      <c r="X292">
        <f t="shared" ca="1" si="61"/>
        <v>0</v>
      </c>
    </row>
    <row r="293" spans="19:24">
      <c r="S293">
        <f t="shared" ca="1" si="57"/>
        <v>0</v>
      </c>
      <c r="T293">
        <f t="shared" ca="1" si="58"/>
        <v>2.0284000000000599</v>
      </c>
      <c r="U293" s="200" t="s">
        <v>269</v>
      </c>
      <c r="V293">
        <f t="shared" ca="1" si="59"/>
        <v>0</v>
      </c>
      <c r="W293">
        <f t="shared" ca="1" si="60"/>
        <v>0</v>
      </c>
      <c r="X293">
        <f t="shared" ca="1" si="61"/>
        <v>0</v>
      </c>
    </row>
    <row r="294" spans="19:24">
      <c r="S294">
        <f t="shared" ca="1" si="57"/>
        <v>0</v>
      </c>
      <c r="T294">
        <f t="shared" ca="1" si="58"/>
        <v>2.0285000000000601</v>
      </c>
      <c r="U294" s="200" t="s">
        <v>269</v>
      </c>
      <c r="V294">
        <f t="shared" ca="1" si="59"/>
        <v>0</v>
      </c>
      <c r="W294">
        <f t="shared" ca="1" si="60"/>
        <v>0</v>
      </c>
      <c r="X294">
        <f t="shared" ca="1" si="61"/>
        <v>0</v>
      </c>
    </row>
    <row r="295" spans="19:24">
      <c r="S295">
        <f t="shared" ca="1" si="57"/>
        <v>0</v>
      </c>
      <c r="T295">
        <f t="shared" ca="1" si="58"/>
        <v>2.0286000000000604</v>
      </c>
      <c r="U295" s="200" t="s">
        <v>269</v>
      </c>
      <c r="V295">
        <f t="shared" ca="1" si="59"/>
        <v>0</v>
      </c>
      <c r="W295">
        <f t="shared" ca="1" si="60"/>
        <v>0</v>
      </c>
      <c r="X295">
        <f t="shared" ca="1" si="61"/>
        <v>0</v>
      </c>
    </row>
    <row r="296" spans="19:24">
      <c r="S296">
        <f t="shared" ca="1" si="57"/>
        <v>0</v>
      </c>
      <c r="T296">
        <f t="shared" ca="1" si="58"/>
        <v>2.0287000000000606</v>
      </c>
      <c r="U296" s="200" t="s">
        <v>269</v>
      </c>
      <c r="V296">
        <f t="shared" ca="1" si="59"/>
        <v>0</v>
      </c>
      <c r="W296">
        <f t="shared" ca="1" si="60"/>
        <v>0</v>
      </c>
      <c r="X296">
        <f t="shared" ca="1" si="61"/>
        <v>0</v>
      </c>
    </row>
    <row r="297" spans="19:24">
      <c r="S297">
        <f t="shared" ca="1" si="57"/>
        <v>0</v>
      </c>
      <c r="T297">
        <f t="shared" ca="1" si="58"/>
        <v>2.0288000000000608</v>
      </c>
      <c r="U297" s="200" t="s">
        <v>269</v>
      </c>
      <c r="V297">
        <f t="shared" ca="1" si="59"/>
        <v>0</v>
      </c>
      <c r="W297">
        <f t="shared" ca="1" si="60"/>
        <v>0</v>
      </c>
      <c r="X297">
        <f t="shared" ca="1" si="61"/>
        <v>0</v>
      </c>
    </row>
    <row r="298" spans="19:24">
      <c r="S298">
        <f t="shared" ca="1" si="57"/>
        <v>0</v>
      </c>
      <c r="T298">
        <f t="shared" ca="1" si="58"/>
        <v>2.028900000000061</v>
      </c>
      <c r="U298" s="200" t="s">
        <v>269</v>
      </c>
      <c r="V298">
        <f t="shared" ca="1" si="59"/>
        <v>0</v>
      </c>
      <c r="W298">
        <f t="shared" ca="1" si="60"/>
        <v>0</v>
      </c>
      <c r="X298">
        <f t="shared" ca="1" si="61"/>
        <v>0</v>
      </c>
    </row>
    <row r="299" spans="19:24">
      <c r="S299">
        <f t="shared" ca="1" si="57"/>
        <v>0</v>
      </c>
      <c r="T299">
        <f t="shared" ca="1" si="58"/>
        <v>2.0290000000000612</v>
      </c>
      <c r="U299" s="200" t="s">
        <v>269</v>
      </c>
      <c r="V299">
        <f t="shared" ca="1" si="59"/>
        <v>0</v>
      </c>
      <c r="W299">
        <f t="shared" ca="1" si="60"/>
        <v>0</v>
      </c>
      <c r="X299">
        <f t="shared" ca="1" si="61"/>
        <v>0</v>
      </c>
    </row>
    <row r="300" spans="19:24">
      <c r="S300">
        <f t="shared" ca="1" si="57"/>
        <v>0</v>
      </c>
      <c r="T300">
        <f t="shared" ca="1" si="58"/>
        <v>2.0291000000000614</v>
      </c>
      <c r="U300" s="200" t="s">
        <v>269</v>
      </c>
      <c r="V300">
        <f t="shared" ca="1" si="59"/>
        <v>0</v>
      </c>
      <c r="W300">
        <f t="shared" ca="1" si="60"/>
        <v>0</v>
      </c>
      <c r="X300">
        <f t="shared" ca="1" si="61"/>
        <v>0</v>
      </c>
    </row>
    <row r="301" spans="19:24">
      <c r="S301">
        <f t="shared" ca="1" si="57"/>
        <v>0</v>
      </c>
      <c r="T301">
        <f t="shared" ca="1" si="58"/>
        <v>2.0292000000000616</v>
      </c>
      <c r="U301" s="200" t="s">
        <v>269</v>
      </c>
      <c r="V301">
        <f t="shared" ca="1" si="59"/>
        <v>0</v>
      </c>
      <c r="W301">
        <f t="shared" ca="1" si="60"/>
        <v>0</v>
      </c>
      <c r="X301">
        <f t="shared" ca="1" si="61"/>
        <v>0</v>
      </c>
    </row>
    <row r="302" spans="19:24">
      <c r="S302">
        <f t="shared" ca="1" si="57"/>
        <v>0</v>
      </c>
      <c r="T302">
        <f t="shared" ca="1" si="58"/>
        <v>2.0293000000000618</v>
      </c>
      <c r="U302" s="200" t="s">
        <v>269</v>
      </c>
      <c r="V302">
        <f t="shared" ca="1" si="59"/>
        <v>0</v>
      </c>
      <c r="W302">
        <f t="shared" ca="1" si="60"/>
        <v>0</v>
      </c>
      <c r="X302">
        <f t="shared" ca="1" si="61"/>
        <v>0</v>
      </c>
    </row>
    <row r="303" spans="19:24">
      <c r="S303">
        <f t="shared" ca="1" si="57"/>
        <v>0</v>
      </c>
      <c r="T303">
        <f t="shared" ca="1" si="58"/>
        <v>2.029400000000062</v>
      </c>
      <c r="U303" s="200" t="s">
        <v>269</v>
      </c>
      <c r="V303">
        <f t="shared" ca="1" si="59"/>
        <v>0</v>
      </c>
      <c r="W303">
        <f t="shared" ca="1" si="60"/>
        <v>0</v>
      </c>
      <c r="X303">
        <f t="shared" ca="1" si="61"/>
        <v>0</v>
      </c>
    </row>
    <row r="304" spans="19:24">
      <c r="S304">
        <f t="shared" ca="1" si="57"/>
        <v>0</v>
      </c>
      <c r="T304">
        <f t="shared" ca="1" si="58"/>
        <v>2.0295000000000623</v>
      </c>
      <c r="U304" s="200" t="s">
        <v>269</v>
      </c>
      <c r="V304">
        <f t="shared" ca="1" si="59"/>
        <v>0</v>
      </c>
      <c r="W304">
        <f t="shared" ca="1" si="60"/>
        <v>0</v>
      </c>
      <c r="X304">
        <f t="shared" ca="1" si="61"/>
        <v>0</v>
      </c>
    </row>
    <row r="305" spans="19:24">
      <c r="S305">
        <f t="shared" ca="1" si="57"/>
        <v>0</v>
      </c>
      <c r="T305">
        <f t="shared" ca="1" si="58"/>
        <v>2.0296000000000625</v>
      </c>
      <c r="U305" s="200" t="s">
        <v>269</v>
      </c>
      <c r="V305">
        <f t="shared" ca="1" si="59"/>
        <v>0</v>
      </c>
      <c r="W305">
        <f t="shared" ca="1" si="60"/>
        <v>0</v>
      </c>
      <c r="X305">
        <f t="shared" ca="1" si="61"/>
        <v>0</v>
      </c>
    </row>
    <row r="306" spans="19:24">
      <c r="S306">
        <f t="shared" ca="1" si="57"/>
        <v>0</v>
      </c>
      <c r="T306">
        <f t="shared" ca="1" si="58"/>
        <v>2.0297000000000627</v>
      </c>
      <c r="U306" s="200" t="s">
        <v>269</v>
      </c>
      <c r="V306">
        <f t="shared" ca="1" si="59"/>
        <v>0</v>
      </c>
      <c r="W306">
        <f t="shared" ca="1" si="60"/>
        <v>0</v>
      </c>
      <c r="X306">
        <f t="shared" ca="1" si="61"/>
        <v>0</v>
      </c>
    </row>
    <row r="307" spans="19:24">
      <c r="S307">
        <f t="shared" ca="1" si="57"/>
        <v>0</v>
      </c>
      <c r="T307">
        <f t="shared" ca="1" si="58"/>
        <v>2.0298000000000629</v>
      </c>
      <c r="U307" s="200" t="s">
        <v>269</v>
      </c>
      <c r="V307">
        <f t="shared" ca="1" si="59"/>
        <v>0</v>
      </c>
      <c r="W307">
        <f t="shared" ca="1" si="60"/>
        <v>0</v>
      </c>
      <c r="X307">
        <f t="shared" ca="1" si="61"/>
        <v>0</v>
      </c>
    </row>
    <row r="308" spans="19:24">
      <c r="S308">
        <f t="shared" ca="1" si="57"/>
        <v>0</v>
      </c>
      <c r="T308">
        <f t="shared" ca="1" si="58"/>
        <v>2.0299000000000631</v>
      </c>
      <c r="U308" s="200" t="s">
        <v>269</v>
      </c>
      <c r="V308">
        <f t="shared" ca="1" si="59"/>
        <v>0</v>
      </c>
      <c r="W308">
        <f t="shared" ca="1" si="60"/>
        <v>0</v>
      </c>
      <c r="X308">
        <f t="shared" ca="1" si="61"/>
        <v>0</v>
      </c>
    </row>
    <row r="309" spans="19:24">
      <c r="S309">
        <f t="shared" ca="1" si="57"/>
        <v>0</v>
      </c>
      <c r="T309">
        <f t="shared" ca="1" si="58"/>
        <v>2.0300000000000633</v>
      </c>
      <c r="U309" s="200" t="s">
        <v>269</v>
      </c>
      <c r="V309">
        <f t="shared" ca="1" si="59"/>
        <v>0</v>
      </c>
      <c r="W309">
        <f t="shared" ca="1" si="60"/>
        <v>0</v>
      </c>
      <c r="X309">
        <f t="shared" ca="1" si="61"/>
        <v>0</v>
      </c>
    </row>
    <row r="310" spans="19:24">
      <c r="S310">
        <f t="shared" ca="1" si="57"/>
        <v>0</v>
      </c>
      <c r="T310">
        <f t="shared" ca="1" si="58"/>
        <v>2.0301000000000635</v>
      </c>
      <c r="U310" s="200" t="s">
        <v>269</v>
      </c>
      <c r="V310">
        <f t="shared" ca="1" si="59"/>
        <v>0</v>
      </c>
      <c r="W310">
        <f t="shared" ca="1" si="60"/>
        <v>0</v>
      </c>
      <c r="X310">
        <f t="shared" ca="1" si="61"/>
        <v>0</v>
      </c>
    </row>
    <row r="311" spans="19:24">
      <c r="S311">
        <f t="shared" ca="1" si="57"/>
        <v>0</v>
      </c>
      <c r="T311">
        <f t="shared" ca="1" si="58"/>
        <v>2.0302000000000637</v>
      </c>
      <c r="U311" s="200" t="s">
        <v>269</v>
      </c>
      <c r="V311">
        <f t="shared" ca="1" si="59"/>
        <v>0</v>
      </c>
      <c r="W311">
        <f t="shared" ca="1" si="60"/>
        <v>0</v>
      </c>
      <c r="X311">
        <f t="shared" ca="1" si="61"/>
        <v>0</v>
      </c>
    </row>
    <row r="312" spans="19:24">
      <c r="S312">
        <f t="shared" ca="1" si="57"/>
        <v>0</v>
      </c>
      <c r="T312">
        <f t="shared" ca="1" si="58"/>
        <v>2.0303000000000639</v>
      </c>
      <c r="U312" s="200" t="s">
        <v>269</v>
      </c>
      <c r="V312">
        <f t="shared" ca="1" si="59"/>
        <v>0</v>
      </c>
      <c r="W312">
        <f t="shared" ca="1" si="60"/>
        <v>0</v>
      </c>
      <c r="X312">
        <f t="shared" ca="1" si="61"/>
        <v>0</v>
      </c>
    </row>
    <row r="313" spans="19:24">
      <c r="S313">
        <f t="shared" ca="1" si="57"/>
        <v>0</v>
      </c>
      <c r="T313">
        <f t="shared" ca="1" si="58"/>
        <v>2.0304000000000642</v>
      </c>
      <c r="U313" s="200" t="s">
        <v>269</v>
      </c>
      <c r="V313">
        <f t="shared" ca="1" si="59"/>
        <v>0</v>
      </c>
      <c r="W313">
        <f t="shared" ca="1" si="60"/>
        <v>0</v>
      </c>
      <c r="X313">
        <f t="shared" ca="1" si="61"/>
        <v>0</v>
      </c>
    </row>
    <row r="314" spans="19:24">
      <c r="S314">
        <f t="shared" ca="1" si="57"/>
        <v>0</v>
      </c>
      <c r="T314">
        <f t="shared" ca="1" si="58"/>
        <v>2.0305000000000644</v>
      </c>
      <c r="U314" s="200" t="s">
        <v>269</v>
      </c>
      <c r="V314">
        <f t="shared" ca="1" si="59"/>
        <v>0</v>
      </c>
      <c r="W314">
        <f t="shared" ca="1" si="60"/>
        <v>0</v>
      </c>
      <c r="X314">
        <f t="shared" ca="1" si="61"/>
        <v>0</v>
      </c>
    </row>
    <row r="315" spans="19:24">
      <c r="S315">
        <f t="shared" ca="1" si="57"/>
        <v>0</v>
      </c>
      <c r="T315">
        <f t="shared" ca="1" si="58"/>
        <v>2.0306000000000646</v>
      </c>
      <c r="U315" s="200" t="s">
        <v>269</v>
      </c>
      <c r="V315">
        <f t="shared" ca="1" si="59"/>
        <v>0</v>
      </c>
      <c r="W315">
        <f t="shared" ca="1" si="60"/>
        <v>0</v>
      </c>
      <c r="X315">
        <f t="shared" ca="1" si="61"/>
        <v>0</v>
      </c>
    </row>
    <row r="316" spans="19:24">
      <c r="S316">
        <f t="shared" si="57"/>
        <v>0</v>
      </c>
      <c r="T316">
        <f t="shared" ca="1" si="58"/>
        <v>2.0307000000000648</v>
      </c>
      <c r="U316" s="200" t="s">
        <v>269</v>
      </c>
      <c r="V316">
        <f t="shared" si="59"/>
        <v>0</v>
      </c>
      <c r="W316">
        <f t="shared" si="60"/>
        <v>0</v>
      </c>
      <c r="X316">
        <f t="shared" si="61"/>
        <v>0</v>
      </c>
    </row>
    <row r="317" spans="19:24">
      <c r="S317">
        <f t="shared" si="57"/>
        <v>0</v>
      </c>
      <c r="T317">
        <f t="shared" ca="1" si="58"/>
        <v>2.030800000000065</v>
      </c>
      <c r="U317" s="200" t="s">
        <v>269</v>
      </c>
      <c r="V317">
        <f t="shared" si="59"/>
        <v>0</v>
      </c>
      <c r="W317">
        <f t="shared" si="60"/>
        <v>0</v>
      </c>
      <c r="X317">
        <f t="shared" si="61"/>
        <v>0</v>
      </c>
    </row>
    <row r="318" spans="19:24">
      <c r="S318">
        <f t="shared" si="57"/>
        <v>0</v>
      </c>
      <c r="T318">
        <f t="shared" ca="1" si="58"/>
        <v>2.0309000000000652</v>
      </c>
      <c r="U318" s="200" t="s">
        <v>269</v>
      </c>
      <c r="V318">
        <f t="shared" si="59"/>
        <v>0</v>
      </c>
      <c r="W318">
        <f t="shared" si="60"/>
        <v>0</v>
      </c>
      <c r="X318">
        <f t="shared" si="61"/>
        <v>0</v>
      </c>
    </row>
    <row r="319" spans="19:24">
      <c r="S319">
        <f t="shared" si="57"/>
        <v>0</v>
      </c>
      <c r="T319">
        <f t="shared" ca="1" si="58"/>
        <v>2.0310000000000654</v>
      </c>
      <c r="U319" s="200" t="s">
        <v>269</v>
      </c>
      <c r="V319">
        <f t="shared" si="59"/>
        <v>0</v>
      </c>
      <c r="W319">
        <f t="shared" si="60"/>
        <v>0</v>
      </c>
      <c r="X319">
        <f t="shared" si="61"/>
        <v>0</v>
      </c>
    </row>
    <row r="320" spans="19:24">
      <c r="S320">
        <f t="shared" si="57"/>
        <v>0</v>
      </c>
      <c r="T320">
        <f t="shared" ca="1" si="58"/>
        <v>2.0311000000000656</v>
      </c>
      <c r="U320" s="200" t="s">
        <v>269</v>
      </c>
      <c r="V320">
        <f t="shared" si="59"/>
        <v>0</v>
      </c>
      <c r="W320">
        <f t="shared" si="60"/>
        <v>0</v>
      </c>
      <c r="X320">
        <f t="shared" si="61"/>
        <v>0</v>
      </c>
    </row>
    <row r="321" spans="19:24">
      <c r="S321">
        <f t="shared" si="57"/>
        <v>0</v>
      </c>
      <c r="T321">
        <f t="shared" ca="1" si="58"/>
        <v>2.0312000000000658</v>
      </c>
      <c r="U321" s="200" t="s">
        <v>269</v>
      </c>
      <c r="V321">
        <f t="shared" si="59"/>
        <v>0</v>
      </c>
      <c r="W321">
        <f t="shared" si="60"/>
        <v>0</v>
      </c>
      <c r="X321">
        <f t="shared" si="61"/>
        <v>0</v>
      </c>
    </row>
    <row r="322" spans="19:24">
      <c r="S322">
        <f t="shared" si="57"/>
        <v>0</v>
      </c>
      <c r="T322">
        <f t="shared" ca="1" si="58"/>
        <v>2.0313000000000661</v>
      </c>
      <c r="U322" s="200" t="s">
        <v>269</v>
      </c>
      <c r="V322">
        <f t="shared" si="59"/>
        <v>0</v>
      </c>
      <c r="W322">
        <f t="shared" si="60"/>
        <v>0</v>
      </c>
      <c r="X322">
        <f t="shared" si="61"/>
        <v>0</v>
      </c>
    </row>
    <row r="323" spans="19:24">
      <c r="S323">
        <f t="shared" si="57"/>
        <v>0</v>
      </c>
      <c r="T323">
        <f t="shared" ca="1" si="58"/>
        <v>2.0314000000000663</v>
      </c>
      <c r="U323" s="200" t="s">
        <v>269</v>
      </c>
      <c r="V323">
        <f t="shared" si="59"/>
        <v>0</v>
      </c>
      <c r="W323">
        <f t="shared" si="60"/>
        <v>0</v>
      </c>
      <c r="X323">
        <f t="shared" si="61"/>
        <v>0</v>
      </c>
    </row>
    <row r="324" spans="19:24">
      <c r="S324">
        <f t="shared" si="57"/>
        <v>0</v>
      </c>
      <c r="T324">
        <f t="shared" ca="1" si="58"/>
        <v>2.0315000000000665</v>
      </c>
      <c r="U324" s="200" t="s">
        <v>269</v>
      </c>
      <c r="V324">
        <f t="shared" si="59"/>
        <v>0</v>
      </c>
      <c r="W324">
        <f t="shared" si="60"/>
        <v>0</v>
      </c>
      <c r="X324">
        <f t="shared" si="61"/>
        <v>0</v>
      </c>
    </row>
    <row r="325" spans="19:24">
      <c r="S325">
        <f t="shared" si="57"/>
        <v>0</v>
      </c>
      <c r="T325">
        <f t="shared" ca="1" si="58"/>
        <v>2.0316000000000667</v>
      </c>
      <c r="U325" s="200" t="s">
        <v>269</v>
      </c>
      <c r="V325">
        <f t="shared" si="59"/>
        <v>0</v>
      </c>
      <c r="W325">
        <f t="shared" si="60"/>
        <v>0</v>
      </c>
      <c r="X325">
        <f t="shared" si="61"/>
        <v>0</v>
      </c>
    </row>
  </sheetData>
  <sheetProtection sheet="1" formatCells="0" formatColumns="0" formatRows="0" insertColumns="0" insertHyperlinks="0"/>
  <mergeCells count="13">
    <mergeCell ref="A3:G3"/>
    <mergeCell ref="A4:E4"/>
    <mergeCell ref="F4:J4"/>
    <mergeCell ref="A1:G1"/>
    <mergeCell ref="H1:I1"/>
    <mergeCell ref="AC1:AI1"/>
    <mergeCell ref="AG2:AH2"/>
    <mergeCell ref="AC2:AD2"/>
    <mergeCell ref="AC3:AC4"/>
    <mergeCell ref="AD3:AD4"/>
    <mergeCell ref="AE3:AF3"/>
    <mergeCell ref="AH3:AH4"/>
    <mergeCell ref="AI3:AI4"/>
  </mergeCells>
  <phoneticPr fontId="4" type="noConversion"/>
  <conditionalFormatting sqref="E6:E10 J6:J10">
    <cfRule type="cellIs" dxfId="118" priority="15" stopIfTrue="1" operator="notEqual">
      <formula>""</formula>
    </cfRule>
  </conditionalFormatting>
  <conditionalFormatting sqref="D6:D10 I6:I10">
    <cfRule type="cellIs" dxfId="117" priority="16" stopIfTrue="1" operator="equal">
      <formula>"c"</formula>
    </cfRule>
  </conditionalFormatting>
  <conditionalFormatting sqref="C6:C10">
    <cfRule type="cellIs" dxfId="116" priority="17" stopIfTrue="1" operator="equal">
      <formula>"Total"</formula>
    </cfRule>
    <cfRule type="cellIs" dxfId="115" priority="18" stopIfTrue="1" operator="equal">
      <formula>"Gewinn"</formula>
    </cfRule>
  </conditionalFormatting>
  <conditionalFormatting sqref="A6:B10 F6:G10">
    <cfRule type="cellIs" dxfId="114" priority="19" stopIfTrue="1" operator="equal">
      <formula>0</formula>
    </cfRule>
  </conditionalFormatting>
  <conditionalFormatting sqref="H6:H10">
    <cfRule type="cellIs" dxfId="113" priority="20" stopIfTrue="1" operator="equal">
      <formula>"Total"</formula>
    </cfRule>
    <cfRule type="cellIs" dxfId="112" priority="21" stopIfTrue="1" operator="equal">
      <formula>"Verlust"</formula>
    </cfRule>
  </conditionalFormatting>
  <conditionalFormatting sqref="A1:G1">
    <cfRule type="cellIs" dxfId="111" priority="24" stopIfTrue="1" operator="notEqual">
      <formula>""</formula>
    </cfRule>
  </conditionalFormatting>
  <conditionalFormatting sqref="E11:E47 J11:J47">
    <cfRule type="cellIs" dxfId="110" priority="8" stopIfTrue="1" operator="notEqual">
      <formula>""</formula>
    </cfRule>
  </conditionalFormatting>
  <conditionalFormatting sqref="D11:D47 I11:I47">
    <cfRule type="cellIs" dxfId="109" priority="9" stopIfTrue="1" operator="equal">
      <formula>"c"</formula>
    </cfRule>
  </conditionalFormatting>
  <conditionalFormatting sqref="C11:C47">
    <cfRule type="cellIs" dxfId="108" priority="10" stopIfTrue="1" operator="equal">
      <formula>"Total"</formula>
    </cfRule>
    <cfRule type="cellIs" dxfId="107" priority="11" stopIfTrue="1" operator="equal">
      <formula>"Gewinn"</formula>
    </cfRule>
  </conditionalFormatting>
  <conditionalFormatting sqref="A11:B47 F11:G47">
    <cfRule type="cellIs" dxfId="106" priority="12" stopIfTrue="1" operator="equal">
      <formula>0</formula>
    </cfRule>
  </conditionalFormatting>
  <conditionalFormatting sqref="H11:H47">
    <cfRule type="cellIs" dxfId="105" priority="13" stopIfTrue="1" operator="equal">
      <formula>"Total"</formula>
    </cfRule>
    <cfRule type="cellIs" dxfId="104" priority="14" stopIfTrue="1" operator="equal">
      <formula>"Verlust"</formula>
    </cfRule>
  </conditionalFormatting>
  <conditionalFormatting sqref="E48:E160 J48:J160">
    <cfRule type="cellIs" dxfId="103" priority="1" stopIfTrue="1" operator="notEqual">
      <formula>""</formula>
    </cfRule>
  </conditionalFormatting>
  <conditionalFormatting sqref="D48:D160 I48:I160">
    <cfRule type="cellIs" dxfId="102" priority="2" stopIfTrue="1" operator="equal">
      <formula>"c"</formula>
    </cfRule>
  </conditionalFormatting>
  <conditionalFormatting sqref="C48:C160">
    <cfRule type="cellIs" dxfId="101" priority="3" stopIfTrue="1" operator="equal">
      <formula>"Total"</formula>
    </cfRule>
    <cfRule type="cellIs" dxfId="100" priority="4" stopIfTrue="1" operator="equal">
      <formula>"Gewinn"</formula>
    </cfRule>
  </conditionalFormatting>
  <conditionalFormatting sqref="A48:B160 F48:G160">
    <cfRule type="cellIs" dxfId="99" priority="5" stopIfTrue="1" operator="equal">
      <formula>0</formula>
    </cfRule>
  </conditionalFormatting>
  <conditionalFormatting sqref="H48:H160">
    <cfRule type="cellIs" dxfId="98" priority="6" stopIfTrue="1" operator="equal">
      <formula>"Total"</formula>
    </cfRule>
    <cfRule type="cellIs" dxfId="97" priority="7" stopIfTrue="1" operator="equal">
      <formula>"Verlust"</formula>
    </cfRule>
  </conditionalFormatting>
  <pageMargins left="0.59055118110236227" right="0.59055118110236227" top="0.39370078740157483" bottom="0.59055118110236227" header="0.51181102362204722" footer="0.31496062992125984"/>
  <pageSetup paperSize="9" scale="95" orientation="landscape" r:id="rId1"/>
  <headerFooter alignWithMargins="0">
    <oddFooter>&amp;L&amp;8Ausdruck vom &amp;D, &amp;T&amp;C&amp;8vereinsbuchhaltung.ch&amp;R&amp;8Seite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00"/>
  <sheetViews>
    <sheetView workbookViewId="0">
      <pane ySplit="5" topLeftCell="A6" activePane="bottomLeft" state="frozen"/>
      <selection pane="bottomLeft" activeCell="A3" sqref="A3"/>
    </sheetView>
  </sheetViews>
  <sheetFormatPr defaultColWidth="11.42578125" defaultRowHeight="12.75"/>
  <cols>
    <col min="1" max="1" width="13.7109375" customWidth="1"/>
    <col min="2" max="2" width="7.140625" customWidth="1"/>
    <col min="3" max="3" width="20.7109375" customWidth="1"/>
    <col min="4" max="4" width="13.140625" customWidth="1"/>
    <col min="5" max="5" width="13.42578125" customWidth="1"/>
    <col min="6" max="6" width="13.7109375" customWidth="1"/>
    <col min="7" max="7" width="7.140625" customWidth="1"/>
    <col min="8" max="8" width="20.7109375" customWidth="1"/>
    <col min="9" max="9" width="13.5703125" customWidth="1"/>
    <col min="10" max="10" width="13.140625" customWidth="1"/>
    <col min="11" max="21" width="0" hidden="1" customWidth="1"/>
  </cols>
  <sheetData>
    <row r="1" spans="1:20" ht="55.5" customHeight="1">
      <c r="A1" s="288" t="str">
        <f ca="1">IF(OR(H35&lt;&gt;"",A35&lt;&gt;"",F35&lt;&gt;"",C35&lt;&gt;""),M1,"Sollten in Spalten A und F Titel erscheinen, können auf diesen Zeilen die Formeln Ende des Geschäftsjahres in den Zellen der Spalten B und C sowie G und H gelöscht werden. So können die Spalten A und F platzsparend ausgedruckt werden.")</f>
        <v xml:space="preserve">Der Ausdruck dieser Erfolgsrechnung benötigt mehr als eine Seite. Zum Ausdrucken passen Sie bitte den Druckbereich an, indem Sie zunächst von Feld A3 bis zum Feld mit dem Total alle Zellen markieren und klicken  anschliessend im Tab 'Seitenlayout' Druckbereich/Druckbereich festlegen anwählen (Excel 97/2003 unter Datei/Druckbereich/Druckbereich festlegen). </v>
      </c>
      <c r="B1" s="288"/>
      <c r="C1" s="288"/>
      <c r="D1" s="288"/>
      <c r="E1" s="288"/>
      <c r="F1" s="288"/>
      <c r="G1" s="288"/>
      <c r="H1" s="289"/>
      <c r="I1" s="96"/>
      <c r="J1" s="97"/>
      <c r="M1" s="180" t="s">
        <v>270</v>
      </c>
      <c r="S1">
        <v>1</v>
      </c>
      <c r="T1">
        <v>1.1000000000000001</v>
      </c>
    </row>
    <row r="2" spans="1:20">
      <c r="A2" s="40"/>
      <c r="B2" s="40"/>
      <c r="C2" s="40"/>
      <c r="D2" s="40"/>
      <c r="E2" s="40"/>
      <c r="F2" s="40"/>
      <c r="G2" s="40"/>
      <c r="H2" s="40"/>
      <c r="I2" s="91"/>
      <c r="J2" s="234" t="str">
        <f ca="1">Calc!P1</f>
        <v>Status ok</v>
      </c>
      <c r="S2">
        <v>2</v>
      </c>
      <c r="T2">
        <f t="shared" ref="T2:T8" si="0">T1+1</f>
        <v>2.1</v>
      </c>
    </row>
    <row r="3" spans="1:20" ht="31.5" customHeight="1">
      <c r="A3" s="287" t="str">
        <f ca="1">IF(Calc!J2="",N7,IF(J2&lt;&gt;"Status ok",N8,CONCATENATE(Journal!D1,": Erfolgsrechnung für ",Journal!D2)))</f>
        <v>Hier STWEG-Namen eingeben: Erfolgsrechnung für 20xx</v>
      </c>
      <c r="B3" s="287"/>
      <c r="C3" s="287"/>
      <c r="D3" s="287"/>
      <c r="E3" s="287"/>
      <c r="F3" s="287"/>
      <c r="G3" s="287"/>
      <c r="H3" s="287"/>
      <c r="I3" s="287"/>
      <c r="J3" s="287"/>
      <c r="S3">
        <v>3</v>
      </c>
      <c r="T3">
        <f t="shared" si="0"/>
        <v>3.1</v>
      </c>
    </row>
    <row r="4" spans="1:20" ht="15">
      <c r="A4" s="282" t="s">
        <v>271</v>
      </c>
      <c r="B4" s="282"/>
      <c r="C4" s="282"/>
      <c r="D4" s="282"/>
      <c r="E4" s="283"/>
      <c r="F4" s="282" t="s">
        <v>272</v>
      </c>
      <c r="G4" s="282"/>
      <c r="H4" s="282"/>
      <c r="I4" s="282"/>
      <c r="J4" s="282"/>
      <c r="K4" s="12"/>
      <c r="S4">
        <v>4</v>
      </c>
      <c r="T4">
        <f t="shared" si="0"/>
        <v>4.0999999999999996</v>
      </c>
    </row>
    <row r="5" spans="1:20" ht="4.5" customHeight="1">
      <c r="A5" s="70"/>
      <c r="B5" s="70"/>
      <c r="C5" s="70"/>
      <c r="D5" s="70"/>
      <c r="E5" s="71"/>
      <c r="F5" s="72"/>
      <c r="G5" s="70"/>
      <c r="H5" s="70"/>
      <c r="I5" s="70"/>
      <c r="J5" s="70"/>
      <c r="S5">
        <v>5</v>
      </c>
      <c r="T5">
        <f t="shared" si="0"/>
        <v>5.0999999999999996</v>
      </c>
    </row>
    <row r="6" spans="1:20" ht="15">
      <c r="A6" s="73" t="str">
        <f>Calc!Y7</f>
        <v>Aufwände nach Verbrauch</v>
      </c>
      <c r="B6" s="74">
        <f>Calc!Z7</f>
        <v>0</v>
      </c>
      <c r="C6" s="74" t="str">
        <f ca="1">Calc!AA7</f>
        <v/>
      </c>
      <c r="D6" s="75">
        <f ca="1">Calc!AB7</f>
        <v>0</v>
      </c>
      <c r="E6" s="77" t="str">
        <f ca="1">IF(Calc!AC7&lt;&gt;"",Calc!AC7,"")</f>
        <v/>
      </c>
      <c r="F6" s="79" t="str">
        <f>Calc!AE7</f>
        <v>Ertrag</v>
      </c>
      <c r="G6" s="74">
        <f>Calc!AF7</f>
        <v>0</v>
      </c>
      <c r="H6" s="74" t="str">
        <f ca="1">Calc!AG7</f>
        <v/>
      </c>
      <c r="I6" s="75">
        <f ca="1">Calc!AH7</f>
        <v>0</v>
      </c>
      <c r="J6" s="77" t="str">
        <f ca="1">Calc!AI7</f>
        <v/>
      </c>
      <c r="N6" t="s">
        <v>228</v>
      </c>
      <c r="S6">
        <v>6</v>
      </c>
      <c r="T6">
        <f t="shared" si="0"/>
        <v>6.1</v>
      </c>
    </row>
    <row r="7" spans="1:20" ht="15">
      <c r="A7" s="73" t="str">
        <f>Calc!Y8</f>
        <v/>
      </c>
      <c r="B7" s="74">
        <f>Calc!Z8</f>
        <v>3000</v>
      </c>
      <c r="C7" s="74" t="str">
        <f ca="1">Calc!AA8</f>
        <v xml:space="preserve">Heizung: Strom </v>
      </c>
      <c r="D7" s="75">
        <f ca="1">Calc!AB8</f>
        <v>0</v>
      </c>
      <c r="E7" s="77" t="str">
        <f ca="1">IF(Calc!AC8&lt;&gt;"",Calc!AC8,"")</f>
        <v/>
      </c>
      <c r="F7" s="79" t="str">
        <f>Calc!AE8</f>
        <v>Akkontozahlungen</v>
      </c>
      <c r="G7" s="74">
        <f>Calc!AF8</f>
        <v>0</v>
      </c>
      <c r="H7" s="74" t="str">
        <f ca="1">Calc!AG8</f>
        <v/>
      </c>
      <c r="I7" s="75">
        <f ca="1">Calc!AH8</f>
        <v>0</v>
      </c>
      <c r="J7" s="77" t="str">
        <f ca="1">Calc!AI8</f>
        <v/>
      </c>
      <c r="N7" t="s">
        <v>265</v>
      </c>
      <c r="S7">
        <v>7</v>
      </c>
      <c r="T7">
        <f t="shared" si="0"/>
        <v>7.1</v>
      </c>
    </row>
    <row r="8" spans="1:20" ht="15">
      <c r="A8" s="73" t="str">
        <f>Calc!Y9</f>
        <v/>
      </c>
      <c r="B8" s="74">
        <f>Calc!Z9</f>
        <v>3020</v>
      </c>
      <c r="C8" s="74" t="str">
        <f ca="1">Calc!AA9</f>
        <v>Aufwand 2 nach Verbrauch</v>
      </c>
      <c r="D8" s="75">
        <f ca="1">Calc!AB9</f>
        <v>0</v>
      </c>
      <c r="E8" s="77" t="str">
        <f ca="1">IF(Calc!AC9&lt;&gt;"",Calc!AC9,"")</f>
        <v/>
      </c>
      <c r="F8" s="79" t="str">
        <f>Calc!AE9</f>
        <v/>
      </c>
      <c r="G8" s="74">
        <f>Calc!AF9</f>
        <v>5010</v>
      </c>
      <c r="H8" s="74" t="str">
        <f ca="1">Calc!AG9</f>
        <v>NK-Akkontozhlg: Partei 1</v>
      </c>
      <c r="I8" s="75">
        <f ca="1">Calc!AH9</f>
        <v>0</v>
      </c>
      <c r="J8" s="77" t="str">
        <f ca="1">Calc!AI9</f>
        <v/>
      </c>
      <c r="K8" s="200"/>
      <c r="N8" s="200" t="s">
        <v>266</v>
      </c>
      <c r="S8">
        <v>8</v>
      </c>
      <c r="T8">
        <f t="shared" si="0"/>
        <v>8.1</v>
      </c>
    </row>
    <row r="9" spans="1:20" ht="15">
      <c r="A9" s="73" t="str">
        <f>Calc!Y10</f>
        <v/>
      </c>
      <c r="B9" s="74">
        <f>Calc!Z10</f>
        <v>3040</v>
      </c>
      <c r="C9" s="74" t="str">
        <f ca="1">Calc!AA10</f>
        <v>Aufwand 3 nach Verbrauch</v>
      </c>
      <c r="D9" s="75">
        <f ca="1">Calc!AB10</f>
        <v>0</v>
      </c>
      <c r="E9" s="77">
        <f ca="1">IF(Calc!AC10&lt;&gt;"",Calc!AC10,"")</f>
        <v>0</v>
      </c>
      <c r="F9" s="79" t="str">
        <f>Calc!AE10</f>
        <v/>
      </c>
      <c r="G9" s="74">
        <f>Calc!AF10</f>
        <v>5020</v>
      </c>
      <c r="H9" s="74" t="str">
        <f ca="1">Calc!AG10</f>
        <v>NK-Akkontozhlg: Partei 2</v>
      </c>
      <c r="I9" s="75">
        <f ca="1">Calc!AH10</f>
        <v>0</v>
      </c>
      <c r="J9" s="77" t="str">
        <f ca="1">Calc!AI10</f>
        <v/>
      </c>
    </row>
    <row r="10" spans="1:20" ht="15">
      <c r="A10" s="73" t="str">
        <f>Calc!Y11</f>
        <v>Energie + Wasser nach Wertquoten</v>
      </c>
      <c r="B10" s="74">
        <f>Calc!Z11</f>
        <v>0</v>
      </c>
      <c r="C10" s="74" t="str">
        <f ca="1">Calc!AA11</f>
        <v/>
      </c>
      <c r="D10" s="75">
        <f ca="1">Calc!AB11</f>
        <v>0</v>
      </c>
      <c r="E10" s="77" t="str">
        <f ca="1">IF(Calc!AC11&lt;&gt;"",Calc!AC11,"")</f>
        <v/>
      </c>
      <c r="F10" s="79" t="str">
        <f>Calc!AE11</f>
        <v/>
      </c>
      <c r="G10" s="74">
        <f>Calc!AF11</f>
        <v>5030</v>
      </c>
      <c r="H10" s="74" t="str">
        <f ca="1">Calc!AG11</f>
        <v>NK-Akkontozhlg: Partei 3</v>
      </c>
      <c r="I10" s="75">
        <f ca="1">Calc!AH11</f>
        <v>0</v>
      </c>
      <c r="J10" s="77" t="str">
        <f ca="1">Calc!AI11</f>
        <v/>
      </c>
    </row>
    <row r="11" spans="1:20" ht="15">
      <c r="A11" s="73" t="str">
        <f>Calc!Y12</f>
        <v/>
      </c>
      <c r="B11" s="74">
        <f>Calc!Z12</f>
        <v>3100</v>
      </c>
      <c r="C11" s="74" t="str">
        <f ca="1">Calc!AA12</f>
        <v>Strom</v>
      </c>
      <c r="D11" s="75">
        <f ca="1">Calc!AB12</f>
        <v>0</v>
      </c>
      <c r="E11" s="77" t="str">
        <f ca="1">IF(Calc!AC12&lt;&gt;"",Calc!AC12,"")</f>
        <v/>
      </c>
      <c r="F11" s="79" t="str">
        <f>Calc!AE12</f>
        <v/>
      </c>
      <c r="G11" s="74">
        <f>Calc!AF12</f>
        <v>5040</v>
      </c>
      <c r="H11" s="74" t="str">
        <f ca="1">Calc!AG12</f>
        <v>NK-Akkontozhlg: Partei 4</v>
      </c>
      <c r="I11" s="75">
        <f ca="1">Calc!AH12</f>
        <v>0</v>
      </c>
      <c r="J11" s="77" t="str">
        <f ca="1">Calc!AI12</f>
        <v/>
      </c>
    </row>
    <row r="12" spans="1:20" ht="15">
      <c r="A12" s="73" t="str">
        <f>Calc!Y13</f>
        <v/>
      </c>
      <c r="B12" s="74">
        <f>Calc!Z13</f>
        <v>3200</v>
      </c>
      <c r="C12" s="74" t="str">
        <f ca="1">Calc!AA13</f>
        <v>Wasser</v>
      </c>
      <c r="D12" s="75">
        <f ca="1">Calc!AB13</f>
        <v>0</v>
      </c>
      <c r="E12" s="77" t="str">
        <f ca="1">IF(Calc!AC13&lt;&gt;"",Calc!AC13,"")</f>
        <v/>
      </c>
      <c r="F12" s="79" t="str">
        <f>Calc!AE13</f>
        <v/>
      </c>
      <c r="G12" s="74">
        <f>Calc!AF13</f>
        <v>5050</v>
      </c>
      <c r="H12" s="74" t="str">
        <f ca="1">Calc!AG13</f>
        <v>NK-Akkontozhlg: Partei 5</v>
      </c>
      <c r="I12" s="75">
        <f ca="1">Calc!AH13</f>
        <v>0</v>
      </c>
      <c r="J12" s="77" t="str">
        <f ca="1">Calc!AI13</f>
        <v/>
      </c>
    </row>
    <row r="13" spans="1:20" ht="15">
      <c r="A13" s="73" t="str">
        <f>Calc!Y14</f>
        <v/>
      </c>
      <c r="B13" s="74">
        <f>Calc!Z14</f>
        <v>3300</v>
      </c>
      <c r="C13" s="74" t="str">
        <f ca="1">Calc!AA14</f>
        <v>ARA</v>
      </c>
      <c r="D13" s="75">
        <f ca="1">Calc!AB14</f>
        <v>0</v>
      </c>
      <c r="E13" s="77">
        <f ca="1">IF(Calc!AC14&lt;&gt;"",Calc!AC14,"")</f>
        <v>0</v>
      </c>
      <c r="F13" s="79" t="str">
        <f>Calc!AE14</f>
        <v/>
      </c>
      <c r="G13" s="74">
        <f>Calc!AF14</f>
        <v>5060</v>
      </c>
      <c r="H13" s="74" t="str">
        <f ca="1">Calc!AG14</f>
        <v>NK-Akkontozhlg: Partei 6</v>
      </c>
      <c r="I13" s="75">
        <f ca="1">Calc!AH14</f>
        <v>0</v>
      </c>
      <c r="J13" s="77" t="str">
        <f ca="1">Calc!AI14</f>
        <v/>
      </c>
    </row>
    <row r="14" spans="1:20" ht="15">
      <c r="A14" s="73" t="str">
        <f>Calc!Y15</f>
        <v>weitere NK nach Wertquoten</v>
      </c>
      <c r="B14" s="74">
        <f>Calc!Z15</f>
        <v>0</v>
      </c>
      <c r="C14" s="74" t="str">
        <f ca="1">Calc!AA15</f>
        <v/>
      </c>
      <c r="D14" s="75">
        <f ca="1">Calc!AB15</f>
        <v>0</v>
      </c>
      <c r="E14" s="77" t="str">
        <f ca="1">IF(Calc!AC15&lt;&gt;"",Calc!AC15,"")</f>
        <v/>
      </c>
      <c r="F14" s="79" t="str">
        <f>Calc!AE15</f>
        <v/>
      </c>
      <c r="G14" s="74">
        <f>Calc!AF15</f>
        <v>5070</v>
      </c>
      <c r="H14" s="74" t="str">
        <f ca="1">Calc!AG15</f>
        <v>NK-Akkontozhlg: Partei 7</v>
      </c>
      <c r="I14" s="75">
        <f ca="1">Calc!AH15</f>
        <v>0</v>
      </c>
      <c r="J14" s="77" t="str">
        <f ca="1">Calc!AI15</f>
        <v/>
      </c>
    </row>
    <row r="15" spans="1:20" ht="15">
      <c r="A15" s="73" t="str">
        <f>Calc!Y16</f>
        <v/>
      </c>
      <c r="B15" s="74">
        <f>Calc!Z16</f>
        <v>3400</v>
      </c>
      <c r="C15" s="74" t="str">
        <f ca="1">Calc!AA16</f>
        <v>Honorar Verwaltung</v>
      </c>
      <c r="D15" s="75">
        <f ca="1">Calc!AB16</f>
        <v>0</v>
      </c>
      <c r="E15" s="77" t="str">
        <f ca="1">IF(Calc!AC16&lt;&gt;"",Calc!AC16,"")</f>
        <v/>
      </c>
      <c r="F15" s="79" t="str">
        <f>Calc!AE16</f>
        <v/>
      </c>
      <c r="G15" s="74">
        <f>Calc!AF16</f>
        <v>5080</v>
      </c>
      <c r="H15" s="74" t="str">
        <f ca="1">Calc!AG16</f>
        <v>NK-Akkontozhlg: Partei 8</v>
      </c>
      <c r="I15" s="75">
        <f ca="1">Calc!AH16</f>
        <v>0</v>
      </c>
      <c r="J15" s="77" t="str">
        <f ca="1">Calc!AI16</f>
        <v/>
      </c>
    </row>
    <row r="16" spans="1:20" ht="15">
      <c r="A16" s="73" t="str">
        <f>Calc!Y17</f>
        <v/>
      </c>
      <c r="B16" s="74">
        <f>Calc!Z17</f>
        <v>3420</v>
      </c>
      <c r="C16" s="74" t="str">
        <f ca="1">Calc!AA17</f>
        <v>Hauswartdienst</v>
      </c>
      <c r="D16" s="75">
        <f ca="1">Calc!AB17</f>
        <v>0</v>
      </c>
      <c r="E16" s="77" t="str">
        <f ca="1">IF(Calc!AC17&lt;&gt;"",Calc!AC17,"")</f>
        <v/>
      </c>
      <c r="F16" s="79" t="str">
        <f>Calc!AE17</f>
        <v/>
      </c>
      <c r="G16" s="74">
        <f>Calc!AF17</f>
        <v>5090</v>
      </c>
      <c r="H16" s="74" t="str">
        <f ca="1">Calc!AG17</f>
        <v>NK-Akkontozhlg: Partei 9</v>
      </c>
      <c r="I16" s="75">
        <f ca="1">Calc!AH17</f>
        <v>0</v>
      </c>
      <c r="J16" s="77" t="str">
        <f ca="1">Calc!AI17</f>
        <v/>
      </c>
    </row>
    <row r="17" spans="1:10" ht="15">
      <c r="A17" s="73" t="str">
        <f>Calc!Y18</f>
        <v/>
      </c>
      <c r="B17" s="74">
        <f>Calc!Z18</f>
        <v>3440</v>
      </c>
      <c r="C17" s="74" t="str">
        <f ca="1">Calc!AA18</f>
        <v>evtl. Hauswartdienst II</v>
      </c>
      <c r="D17" s="75">
        <f ca="1">Calc!AB18</f>
        <v>0</v>
      </c>
      <c r="E17" s="77" t="str">
        <f ca="1">IF(Calc!AC18&lt;&gt;"",Calc!AC18,"")</f>
        <v/>
      </c>
      <c r="F17" s="79" t="str">
        <f>Calc!AE18</f>
        <v/>
      </c>
      <c r="G17" s="74">
        <f>Calc!AF18</f>
        <v>5100</v>
      </c>
      <c r="H17" s="74" t="str">
        <f ca="1">Calc!AG18</f>
        <v>NK-Akkontozhlg: Partei 10</v>
      </c>
      <c r="I17" s="75">
        <f ca="1">Calc!AH18</f>
        <v>0</v>
      </c>
      <c r="J17" s="77" t="str">
        <f ca="1">Calc!AI18</f>
        <v/>
      </c>
    </row>
    <row r="18" spans="1:10" ht="15">
      <c r="A18" s="73" t="str">
        <f>Calc!Y19</f>
        <v/>
      </c>
      <c r="B18" s="74">
        <f>Calc!Z19</f>
        <v>3480</v>
      </c>
      <c r="C18" s="74" t="str">
        <f ca="1">Calc!AA19</f>
        <v>Hauswart AHV</v>
      </c>
      <c r="D18" s="75">
        <f ca="1">Calc!AB19</f>
        <v>0</v>
      </c>
      <c r="E18" s="77" t="str">
        <f ca="1">IF(Calc!AC19&lt;&gt;"",Calc!AC19,"")</f>
        <v/>
      </c>
      <c r="F18" s="79" t="str">
        <f>Calc!AE19</f>
        <v/>
      </c>
      <c r="G18" s="74">
        <f>Calc!AF19</f>
        <v>5110</v>
      </c>
      <c r="H18" s="74" t="str">
        <f ca="1">Calc!AG19</f>
        <v>NK-Akkontozhlg: Partei 11</v>
      </c>
      <c r="I18" s="75">
        <f ca="1">Calc!AH19</f>
        <v>0</v>
      </c>
      <c r="J18" s="77" t="str">
        <f ca="1">Calc!AI19</f>
        <v/>
      </c>
    </row>
    <row r="19" spans="1:10" ht="15">
      <c r="A19" s="73" t="str">
        <f>Calc!Y20</f>
        <v/>
      </c>
      <c r="B19" s="74">
        <f>Calc!Z20</f>
        <v>3500</v>
      </c>
      <c r="C19" s="74" t="str">
        <f ca="1">Calc!AA20</f>
        <v>Gebäudeversicherung</v>
      </c>
      <c r="D19" s="75">
        <f ca="1">Calc!AB20</f>
        <v>0</v>
      </c>
      <c r="E19" s="77" t="str">
        <f ca="1">IF(Calc!AC20&lt;&gt;"",Calc!AC20,"")</f>
        <v/>
      </c>
      <c r="F19" s="79" t="str">
        <f>Calc!AE20</f>
        <v/>
      </c>
      <c r="G19" s="74">
        <f>Calc!AF20</f>
        <v>5120</v>
      </c>
      <c r="H19" s="74" t="str">
        <f ca="1">Calc!AG20</f>
        <v>NK-Akkontozhlg: Partei 12</v>
      </c>
      <c r="I19" s="75">
        <f ca="1">Calc!AH20</f>
        <v>0</v>
      </c>
      <c r="J19" s="77">
        <f ca="1">Calc!AI20</f>
        <v>0</v>
      </c>
    </row>
    <row r="20" spans="1:10" ht="15">
      <c r="A20" s="73" t="str">
        <f>Calc!Y21</f>
        <v/>
      </c>
      <c r="B20" s="74">
        <f>Calc!Z21</f>
        <v>3550</v>
      </c>
      <c r="C20" s="74" t="str">
        <f ca="1">Calc!AA21</f>
        <v>evtl. Gebäudeversicherung II</v>
      </c>
      <c r="D20" s="75">
        <f ca="1">Calc!AB21</f>
        <v>0</v>
      </c>
      <c r="E20" s="77" t="str">
        <f ca="1">IF(Calc!AC21&lt;&gt;"",Calc!AC21,"")</f>
        <v/>
      </c>
      <c r="F20" s="79" t="str">
        <f>Calc!AE21</f>
        <v>NK: Rückzahlungen</v>
      </c>
      <c r="G20" s="74">
        <f>Calc!AF21</f>
        <v>0</v>
      </c>
      <c r="H20" s="74" t="str">
        <f ca="1">Calc!AG21</f>
        <v/>
      </c>
      <c r="I20" s="75">
        <f ca="1">Calc!AH21</f>
        <v>0</v>
      </c>
      <c r="J20" s="77" t="str">
        <f ca="1">Calc!AI21</f>
        <v/>
      </c>
    </row>
    <row r="21" spans="1:10" ht="15">
      <c r="A21" s="73" t="str">
        <f>Calc!Y22</f>
        <v/>
      </c>
      <c r="B21" s="74">
        <f>Calc!Z22</f>
        <v>3600</v>
      </c>
      <c r="C21" s="74" t="str">
        <f ca="1">Calc!AA22</f>
        <v>Wartung Heizung</v>
      </c>
      <c r="D21" s="75">
        <f ca="1">Calc!AB22</f>
        <v>0</v>
      </c>
      <c r="E21" s="77" t="str">
        <f ca="1">IF(Calc!AC22&lt;&gt;"",Calc!AC22,"")</f>
        <v/>
      </c>
      <c r="F21" s="79" t="str">
        <f>Calc!AE22</f>
        <v/>
      </c>
      <c r="G21" s="74">
        <f>Calc!AF22</f>
        <v>6010</v>
      </c>
      <c r="H21" s="74" t="str">
        <f ca="1">Calc!AG22</f>
        <v>NK-Rückzhgen: Partei 1</v>
      </c>
      <c r="I21" s="75">
        <f ca="1">Calc!AH22</f>
        <v>0</v>
      </c>
      <c r="J21" s="77" t="str">
        <f ca="1">Calc!AI22</f>
        <v/>
      </c>
    </row>
    <row r="22" spans="1:10" ht="15">
      <c r="A22" s="73" t="str">
        <f>Calc!Y23</f>
        <v/>
      </c>
      <c r="B22" s="74">
        <f>Calc!Z23</f>
        <v>3620</v>
      </c>
      <c r="C22" s="74" t="str">
        <f ca="1">Calc!AA23</f>
        <v>Wartung Lift</v>
      </c>
      <c r="D22" s="75">
        <f ca="1">Calc!AB23</f>
        <v>0</v>
      </c>
      <c r="E22" s="77" t="str">
        <f ca="1">IF(Calc!AC23&lt;&gt;"",Calc!AC23,"")</f>
        <v/>
      </c>
      <c r="F22" s="79" t="str">
        <f>Calc!AE23</f>
        <v/>
      </c>
      <c r="G22" s="74">
        <f>Calc!AF23</f>
        <v>6020</v>
      </c>
      <c r="H22" s="74" t="str">
        <f ca="1">Calc!AG23</f>
        <v>NK-Rückzhgen: Partei 2</v>
      </c>
      <c r="I22" s="75">
        <f ca="1">Calc!AH23</f>
        <v>0</v>
      </c>
      <c r="J22" s="77" t="str">
        <f ca="1">Calc!AI23</f>
        <v/>
      </c>
    </row>
    <row r="23" spans="1:10" ht="15">
      <c r="A23" s="73" t="str">
        <f>Calc!Y24</f>
        <v/>
      </c>
      <c r="B23" s="74">
        <f>Calc!Z24</f>
        <v>3640</v>
      </c>
      <c r="C23" s="74" t="str">
        <f ca="1">Calc!AA24</f>
        <v>Wartung Lüftung</v>
      </c>
      <c r="D23" s="75">
        <f ca="1">Calc!AB24</f>
        <v>0</v>
      </c>
      <c r="E23" s="77" t="str">
        <f ca="1">IF(Calc!AC24&lt;&gt;"",Calc!AC24,"")</f>
        <v/>
      </c>
      <c r="F23" s="79" t="str">
        <f>Calc!AE24</f>
        <v/>
      </c>
      <c r="G23" s="74">
        <f>Calc!AF24</f>
        <v>6030</v>
      </c>
      <c r="H23" s="74" t="str">
        <f ca="1">Calc!AG24</f>
        <v>NK-Rückzhgen: Partei 3</v>
      </c>
      <c r="I23" s="75">
        <f ca="1">Calc!AH24</f>
        <v>0</v>
      </c>
      <c r="J23" s="77" t="str">
        <f ca="1">Calc!AI24</f>
        <v/>
      </c>
    </row>
    <row r="24" spans="1:10" ht="15">
      <c r="A24" s="73" t="str">
        <f>Calc!Y25</f>
        <v/>
      </c>
      <c r="B24" s="74">
        <f>Calc!Z25</f>
        <v>3660</v>
      </c>
      <c r="C24" s="74" t="str">
        <f ca="1">Calc!AA25</f>
        <v>Wartung Flachdach</v>
      </c>
      <c r="D24" s="75">
        <f ca="1">Calc!AB25</f>
        <v>0</v>
      </c>
      <c r="E24" s="77" t="str">
        <f ca="1">IF(Calc!AC25&lt;&gt;"",Calc!AC25,"")</f>
        <v/>
      </c>
      <c r="F24" s="79" t="str">
        <f>Calc!AE25</f>
        <v/>
      </c>
      <c r="G24" s="74">
        <f>Calc!AF25</f>
        <v>6040</v>
      </c>
      <c r="H24" s="74" t="str">
        <f ca="1">Calc!AG25</f>
        <v>NK-Rückzhgen: Partei 4</v>
      </c>
      <c r="I24" s="75">
        <f ca="1">Calc!AH25</f>
        <v>0</v>
      </c>
      <c r="J24" s="77" t="str">
        <f ca="1">Calc!AI25</f>
        <v/>
      </c>
    </row>
    <row r="25" spans="1:10" ht="15">
      <c r="A25" s="73" t="str">
        <f>Calc!Y26</f>
        <v/>
      </c>
      <c r="B25" s="74">
        <f>Calc!Z26</f>
        <v>3680</v>
      </c>
      <c r="C25" s="74" t="str">
        <f ca="1">Calc!AA26</f>
        <v>Wartung div.</v>
      </c>
      <c r="D25" s="75">
        <f ca="1">Calc!AB26</f>
        <v>0</v>
      </c>
      <c r="E25" s="77" t="str">
        <f ca="1">IF(Calc!AC26&lt;&gt;"",Calc!AC26,"")</f>
        <v/>
      </c>
      <c r="F25" s="79" t="str">
        <f>Calc!AE26</f>
        <v/>
      </c>
      <c r="G25" s="74">
        <f>Calc!AF26</f>
        <v>6050</v>
      </c>
      <c r="H25" s="74" t="str">
        <f ca="1">Calc!AG26</f>
        <v>NK-Rückzhgen: Partei 5</v>
      </c>
      <c r="I25" s="75">
        <f ca="1">Calc!AH26</f>
        <v>0</v>
      </c>
      <c r="J25" s="77" t="str">
        <f ca="1">Calc!AI26</f>
        <v/>
      </c>
    </row>
    <row r="26" spans="1:10" ht="15">
      <c r="A26" s="73" t="str">
        <f>Calc!Y27</f>
        <v/>
      </c>
      <c r="B26" s="74">
        <f>Calc!Z27</f>
        <v>3700</v>
      </c>
      <c r="C26" s="74" t="str">
        <f ca="1">Calc!AA27</f>
        <v>Reinigungsmittel (Hauswart)</v>
      </c>
      <c r="D26" s="75">
        <f ca="1">Calc!AB27</f>
        <v>0</v>
      </c>
      <c r="E26" s="77" t="str">
        <f ca="1">IF(Calc!AC27&lt;&gt;"",Calc!AC27,"")</f>
        <v/>
      </c>
      <c r="F26" s="79" t="str">
        <f>Calc!AE27</f>
        <v/>
      </c>
      <c r="G26" s="74">
        <f>Calc!AF27</f>
        <v>6060</v>
      </c>
      <c r="H26" s="74" t="str">
        <f ca="1">Calc!AG27</f>
        <v>NK-Rückzhgen: Partei 6</v>
      </c>
      <c r="I26" s="75">
        <f ca="1">Calc!AH27</f>
        <v>0</v>
      </c>
      <c r="J26" s="77" t="str">
        <f ca="1">Calc!AI27</f>
        <v/>
      </c>
    </row>
    <row r="27" spans="1:10" ht="15">
      <c r="A27" s="73" t="str">
        <f>Calc!Y28</f>
        <v/>
      </c>
      <c r="B27" s="74">
        <f>Calc!Z28</f>
        <v>3720</v>
      </c>
      <c r="C27" s="74" t="str">
        <f ca="1">Calc!AA28</f>
        <v>Verbrauchsmaterial (Hauswart)</v>
      </c>
      <c r="D27" s="75">
        <f ca="1">Calc!AB28</f>
        <v>0</v>
      </c>
      <c r="E27" s="77" t="str">
        <f ca="1">IF(Calc!AC28&lt;&gt;"",Calc!AC28,"")</f>
        <v/>
      </c>
      <c r="F27" s="79" t="str">
        <f>Calc!AE28</f>
        <v/>
      </c>
      <c r="G27" s="74">
        <f>Calc!AF28</f>
        <v>6070</v>
      </c>
      <c r="H27" s="74" t="str">
        <f ca="1">Calc!AG28</f>
        <v>NK-Rückzhgen: Partei 7</v>
      </c>
      <c r="I27" s="75">
        <f ca="1">Calc!AH28</f>
        <v>0</v>
      </c>
      <c r="J27" s="77" t="str">
        <f ca="1">Calc!AI28</f>
        <v/>
      </c>
    </row>
    <row r="28" spans="1:10" ht="15">
      <c r="A28" s="73" t="str">
        <f>Calc!Y29</f>
        <v/>
      </c>
      <c r="B28" s="74">
        <f>Calc!Z29</f>
        <v>3740</v>
      </c>
      <c r="C28" s="74" t="str">
        <f ca="1">Calc!AA29</f>
        <v>Winterdienst</v>
      </c>
      <c r="D28" s="75">
        <f ca="1">Calc!AB29</f>
        <v>0</v>
      </c>
      <c r="E28" s="77" t="str">
        <f ca="1">IF(Calc!AC29&lt;&gt;"",Calc!AC29,"")</f>
        <v/>
      </c>
      <c r="F28" s="79" t="str">
        <f>Calc!AE29</f>
        <v/>
      </c>
      <c r="G28" s="74">
        <f>Calc!AF29</f>
        <v>6080</v>
      </c>
      <c r="H28" s="74" t="str">
        <f ca="1">Calc!AG29</f>
        <v>NK-Rückzhgen: Partei 8</v>
      </c>
      <c r="I28" s="75">
        <f ca="1">Calc!AH29</f>
        <v>0</v>
      </c>
      <c r="J28" s="77" t="str">
        <f ca="1">Calc!AI29</f>
        <v/>
      </c>
    </row>
    <row r="29" spans="1:10" ht="15">
      <c r="A29" s="73" t="str">
        <f>Calc!Y30</f>
        <v/>
      </c>
      <c r="B29" s="74">
        <f>Calc!Z30</f>
        <v>3760</v>
      </c>
      <c r="C29" s="74" t="str">
        <f ca="1">Calc!AA30</f>
        <v>Reparaturen</v>
      </c>
      <c r="D29" s="75">
        <f ca="1">Calc!AB30</f>
        <v>0</v>
      </c>
      <c r="E29" s="77" t="str">
        <f ca="1">IF(Calc!AC30&lt;&gt;"",Calc!AC30,"")</f>
        <v/>
      </c>
      <c r="F29" s="79" t="str">
        <f>Calc!AE30</f>
        <v/>
      </c>
      <c r="G29" s="74">
        <f>Calc!AF30</f>
        <v>6090</v>
      </c>
      <c r="H29" s="74" t="str">
        <f ca="1">Calc!AG30</f>
        <v>NK-Rückzhgen: Partei 9</v>
      </c>
      <c r="I29" s="75">
        <f ca="1">Calc!AH30</f>
        <v>0</v>
      </c>
      <c r="J29" s="77" t="str">
        <f ca="1">Calc!AI30</f>
        <v/>
      </c>
    </row>
    <row r="30" spans="1:10" ht="15">
      <c r="A30" s="73" t="str">
        <f>Calc!Y31</f>
        <v/>
      </c>
      <c r="B30" s="74">
        <f>Calc!Z31</f>
        <v>3780</v>
      </c>
      <c r="C30" s="74" t="str">
        <f ca="1">Calc!AA31</f>
        <v>div. Anschaffungen</v>
      </c>
      <c r="D30" s="75">
        <f ca="1">Calc!AB31</f>
        <v>0</v>
      </c>
      <c r="E30" s="77" t="str">
        <f ca="1">IF(Calc!AC31&lt;&gt;"",Calc!AC31,"")</f>
        <v/>
      </c>
      <c r="F30" s="79" t="str">
        <f>Calc!AE31</f>
        <v/>
      </c>
      <c r="G30" s="74">
        <f>Calc!AF31</f>
        <v>6100</v>
      </c>
      <c r="H30" s="74" t="str">
        <f ca="1">Calc!AG31</f>
        <v>NK-Rückzhgen: Partei 10</v>
      </c>
      <c r="I30" s="75">
        <f ca="1">Calc!AH31</f>
        <v>0</v>
      </c>
      <c r="J30" s="77" t="str">
        <f ca="1">Calc!AI31</f>
        <v/>
      </c>
    </row>
    <row r="31" spans="1:10" ht="15">
      <c r="A31" s="73" t="str">
        <f>Calc!Y32</f>
        <v/>
      </c>
      <c r="B31" s="74">
        <f>Calc!Z32</f>
        <v>3850</v>
      </c>
      <c r="C31" s="74" t="str">
        <f ca="1">Calc!AA32</f>
        <v>Festivitäten</v>
      </c>
      <c r="D31" s="75">
        <f ca="1">Calc!AB32</f>
        <v>0</v>
      </c>
      <c r="E31" s="77" t="str">
        <f ca="1">IF(Calc!AC32&lt;&gt;"",Calc!AC32,"")</f>
        <v/>
      </c>
      <c r="F31" s="79" t="str">
        <f>Calc!AE32</f>
        <v/>
      </c>
      <c r="G31" s="74">
        <f>Calc!AF32</f>
        <v>6110</v>
      </c>
      <c r="H31" s="74" t="str">
        <f ca="1">Calc!AG32</f>
        <v>NK-Rückzhgen: Partei 11</v>
      </c>
      <c r="I31" s="75">
        <f ca="1">Calc!AH32</f>
        <v>0</v>
      </c>
      <c r="J31" s="77" t="str">
        <f ca="1">Calc!AI32</f>
        <v/>
      </c>
    </row>
    <row r="32" spans="1:10" ht="15">
      <c r="A32" s="73" t="str">
        <f>Calc!Y33</f>
        <v/>
      </c>
      <c r="B32" s="74">
        <f>Calc!Z33</f>
        <v>3900</v>
      </c>
      <c r="C32" s="74" t="str">
        <f ca="1">Calc!AA33</f>
        <v>Diverses</v>
      </c>
      <c r="D32" s="75">
        <f ca="1">Calc!AB33</f>
        <v>0</v>
      </c>
      <c r="E32" s="77">
        <f ca="1">IF(Calc!AC33&lt;&gt;"",Calc!AC33,"")</f>
        <v>0</v>
      </c>
      <c r="F32" s="79" t="str">
        <f>Calc!AE33</f>
        <v/>
      </c>
      <c r="G32" s="74">
        <f>Calc!AF33</f>
        <v>6120</v>
      </c>
      <c r="H32" s="74" t="str">
        <f ca="1">Calc!AG33</f>
        <v>NK-Rückzhgen: Partei 12</v>
      </c>
      <c r="I32" s="75">
        <f ca="1">Calc!AH33</f>
        <v>0</v>
      </c>
      <c r="J32" s="77">
        <f ca="1">Calc!AI33</f>
        <v>0</v>
      </c>
    </row>
    <row r="33" spans="1:10" ht="15">
      <c r="A33" s="73" t="str">
        <f>Calc!Y34</f>
        <v>NK: Aufteilung nach Whg</v>
      </c>
      <c r="B33" s="74">
        <f>Calc!Z34</f>
        <v>0</v>
      </c>
      <c r="C33" s="74" t="str">
        <f ca="1">Calc!AA34</f>
        <v/>
      </c>
      <c r="D33" s="75">
        <f ca="1">Calc!AB34</f>
        <v>0</v>
      </c>
      <c r="E33" s="77" t="str">
        <f ca="1">IF(Calc!AC34&lt;&gt;"",Calc!AC34,"")</f>
        <v/>
      </c>
      <c r="F33" s="79" t="str">
        <f>Calc!AE34</f>
        <v>Eröffnung</v>
      </c>
      <c r="G33" s="74">
        <f>Calc!AF34</f>
        <v>0</v>
      </c>
      <c r="H33" s="74" t="str">
        <f ca="1">Calc!AG34</f>
        <v/>
      </c>
      <c r="I33" s="75">
        <f ca="1">Calc!AH34</f>
        <v>0</v>
      </c>
      <c r="J33" s="77" t="str">
        <f ca="1">Calc!AI34</f>
        <v/>
      </c>
    </row>
    <row r="34" spans="1:10" ht="15">
      <c r="A34" s="73" t="str">
        <f>Calc!Y35</f>
        <v/>
      </c>
      <c r="B34" s="74">
        <f>Calc!Z35</f>
        <v>4000</v>
      </c>
      <c r="C34" s="74" t="str">
        <f ca="1">Calc!AA35</f>
        <v>Gebühren Cablecom</v>
      </c>
      <c r="D34" s="75">
        <f ca="1">Calc!AB35</f>
        <v>0</v>
      </c>
      <c r="E34" s="77" t="str">
        <f ca="1">IF(Calc!AC35&lt;&gt;"",Calc!AC35,"")</f>
        <v/>
      </c>
      <c r="F34" s="79" t="str">
        <f>Calc!AE35</f>
        <v/>
      </c>
      <c r="G34" s="74">
        <f>Calc!AF35</f>
        <v>9999</v>
      </c>
      <c r="H34" s="74" t="str">
        <f ca="1">Calc!AG35</f>
        <v>Eröffnungskonto</v>
      </c>
      <c r="I34" s="75">
        <f ca="1">Calc!AH35</f>
        <v>0</v>
      </c>
      <c r="J34" s="77">
        <f ca="1">Calc!AI35</f>
        <v>0</v>
      </c>
    </row>
    <row r="35" spans="1:10" ht="15">
      <c r="A35" s="73" t="str">
        <f>Calc!Y36</f>
        <v/>
      </c>
      <c r="B35" s="74">
        <f>Calc!Z36</f>
        <v>4100</v>
      </c>
      <c r="C35" s="74" t="str">
        <f ca="1">Calc!AA36</f>
        <v>Kehrrichtgebühren</v>
      </c>
      <c r="D35" s="75">
        <f ca="1">Calc!AB36</f>
        <v>0</v>
      </c>
      <c r="E35" s="77" t="str">
        <f ca="1">IF(Calc!AC36&lt;&gt;"",Calc!AC36,"")</f>
        <v/>
      </c>
      <c r="F35" s="79">
        <f>Calc!AE36</f>
        <v>0</v>
      </c>
      <c r="G35" s="74">
        <f>Calc!AF36</f>
        <v>0</v>
      </c>
      <c r="H35" s="74" t="str">
        <f ca="1">Calc!AG36</f>
        <v/>
      </c>
      <c r="I35" s="75">
        <f ca="1">Calc!AH36</f>
        <v>0</v>
      </c>
      <c r="J35" s="77" t="str">
        <f ca="1">Calc!AI36</f>
        <v/>
      </c>
    </row>
    <row r="36" spans="1:10" ht="15">
      <c r="A36" s="73" t="str">
        <f>Calc!Y37</f>
        <v/>
      </c>
      <c r="B36" s="74">
        <f>Calc!Z37</f>
        <v>4200</v>
      </c>
      <c r="C36" s="74" t="str">
        <f ca="1">Calc!AA37</f>
        <v>Erstellen Heizkostenabrchg</v>
      </c>
      <c r="D36" s="75">
        <f ca="1">Calc!AB37</f>
        <v>0</v>
      </c>
      <c r="E36" s="77">
        <f ca="1">IF(Calc!AC37&lt;&gt;"",Calc!AC37,"")</f>
        <v>0</v>
      </c>
      <c r="F36" s="79">
        <f>Calc!AE37</f>
        <v>0</v>
      </c>
      <c r="G36" s="74">
        <f>Calc!AF37</f>
        <v>0</v>
      </c>
      <c r="H36" s="74" t="str">
        <f ca="1">Calc!AG37</f>
        <v/>
      </c>
      <c r="I36" s="75">
        <f ca="1">Calc!AH37</f>
        <v>0</v>
      </c>
      <c r="J36" s="77" t="str">
        <f ca="1">Calc!AI37</f>
        <v/>
      </c>
    </row>
    <row r="37" spans="1:10" ht="15">
      <c r="A37" s="73">
        <f>Calc!Y38</f>
        <v>0</v>
      </c>
      <c r="B37" s="74">
        <f>Calc!Z38</f>
        <v>0</v>
      </c>
      <c r="C37" s="74" t="str">
        <f ca="1">Calc!AA38</f>
        <v>Gewinn</v>
      </c>
      <c r="D37" s="75">
        <f ca="1">Calc!AB38</f>
        <v>0</v>
      </c>
      <c r="E37" s="77">
        <f ca="1">IF(Calc!AC38&lt;&gt;"",Calc!AC38,"")</f>
        <v>0</v>
      </c>
      <c r="F37" s="79">
        <f>Calc!AE38</f>
        <v>0</v>
      </c>
      <c r="G37" s="74">
        <f>Calc!AF38</f>
        <v>0</v>
      </c>
      <c r="H37" s="74" t="str">
        <f ca="1">Calc!AG38</f>
        <v>Gewinn</v>
      </c>
      <c r="I37" s="75">
        <f ca="1">Calc!AH38</f>
        <v>0</v>
      </c>
      <c r="J37" s="77" t="str">
        <f ca="1">Calc!AI38</f>
        <v/>
      </c>
    </row>
    <row r="38" spans="1:10" ht="15">
      <c r="A38" s="73">
        <f>Calc!Y39</f>
        <v>0</v>
      </c>
      <c r="B38" s="74">
        <f>Calc!Z39</f>
        <v>0</v>
      </c>
      <c r="C38" s="74" t="str">
        <f ca="1">Calc!AA39</f>
        <v>Total</v>
      </c>
      <c r="D38" s="75" t="str">
        <f ca="1">Calc!AB39</f>
        <v>c</v>
      </c>
      <c r="E38" s="77">
        <f ca="1">IF(Calc!AC39&lt;&gt;"",Calc!AC39,"")</f>
        <v>0</v>
      </c>
      <c r="F38" s="79">
        <f>Calc!AE39</f>
        <v>0</v>
      </c>
      <c r="G38" s="74">
        <f>Calc!AF39</f>
        <v>0</v>
      </c>
      <c r="H38" s="74" t="str">
        <f ca="1">Calc!AG39</f>
        <v>Total</v>
      </c>
      <c r="I38" s="75" t="str">
        <f ca="1">Calc!AH39</f>
        <v>c</v>
      </c>
      <c r="J38" s="77">
        <f ca="1">Calc!AI39</f>
        <v>0</v>
      </c>
    </row>
    <row r="39" spans="1:10" ht="15">
      <c r="A39" s="73">
        <f>Calc!Y40</f>
        <v>0</v>
      </c>
      <c r="B39" s="74">
        <f>Calc!Z40</f>
        <v>0</v>
      </c>
      <c r="C39" s="74" t="str">
        <f ca="1">Calc!AA40</f>
        <v/>
      </c>
      <c r="D39" s="75" t="str">
        <f ca="1">Calc!AB40</f>
        <v/>
      </c>
      <c r="E39" s="77" t="str">
        <f ca="1">IF(Calc!AC40&lt;&gt;"",Calc!AC40,"")</f>
        <v/>
      </c>
      <c r="F39" s="79">
        <f>Calc!AE40</f>
        <v>0</v>
      </c>
      <c r="G39" s="74">
        <f>Calc!AF40</f>
        <v>0</v>
      </c>
      <c r="H39" s="74" t="str">
        <f ca="1">Calc!AG40</f>
        <v/>
      </c>
      <c r="I39" s="75" t="str">
        <f ca="1">Calc!AH40</f>
        <v/>
      </c>
      <c r="J39" s="77" t="str">
        <f ca="1">Calc!AI40</f>
        <v/>
      </c>
    </row>
    <row r="40" spans="1:10" ht="15">
      <c r="A40" s="73">
        <f>Calc!Y41</f>
        <v>0</v>
      </c>
      <c r="B40" s="74">
        <f>Calc!Z41</f>
        <v>0</v>
      </c>
      <c r="C40" s="74" t="str">
        <f ca="1">Calc!AA41</f>
        <v/>
      </c>
      <c r="D40" s="75" t="str">
        <f ca="1">Calc!AB41</f>
        <v/>
      </c>
      <c r="E40" s="77" t="str">
        <f ca="1">IF(Calc!AC41&lt;&gt;"",Calc!AC41,"")</f>
        <v/>
      </c>
      <c r="F40" s="79">
        <f>Calc!AE41</f>
        <v>0</v>
      </c>
      <c r="G40" s="74">
        <f>Calc!AF41</f>
        <v>0</v>
      </c>
      <c r="H40" s="74" t="str">
        <f ca="1">Calc!AG41</f>
        <v/>
      </c>
      <c r="I40" s="75" t="str">
        <f ca="1">Calc!AH41</f>
        <v/>
      </c>
      <c r="J40" s="77" t="str">
        <f ca="1">Calc!AI41</f>
        <v/>
      </c>
    </row>
    <row r="41" spans="1:10" ht="15">
      <c r="A41" s="73">
        <f>Calc!Y42</f>
        <v>0</v>
      </c>
      <c r="B41" s="74">
        <f>Calc!Z42</f>
        <v>0</v>
      </c>
      <c r="C41" s="74" t="str">
        <f ca="1">Calc!AA42</f>
        <v/>
      </c>
      <c r="D41" s="75" t="str">
        <f ca="1">Calc!AB42</f>
        <v/>
      </c>
      <c r="E41" s="77" t="str">
        <f ca="1">IF(Calc!AC42&lt;&gt;"",Calc!AC42,"")</f>
        <v/>
      </c>
      <c r="F41" s="79">
        <f>Calc!AE42</f>
        <v>0</v>
      </c>
      <c r="G41" s="74">
        <f>Calc!AF42</f>
        <v>0</v>
      </c>
      <c r="H41" s="74" t="str">
        <f ca="1">Calc!AG42</f>
        <v/>
      </c>
      <c r="I41" s="75" t="str">
        <f ca="1">Calc!AH42</f>
        <v/>
      </c>
      <c r="J41" s="77" t="str">
        <f ca="1">Calc!AI42</f>
        <v/>
      </c>
    </row>
    <row r="42" spans="1:10" ht="15">
      <c r="A42" s="73">
        <f>Calc!Y43</f>
        <v>0</v>
      </c>
      <c r="B42" s="74">
        <f>Calc!Z43</f>
        <v>0</v>
      </c>
      <c r="C42" s="74" t="str">
        <f ca="1">Calc!AA43</f>
        <v/>
      </c>
      <c r="D42" s="75" t="str">
        <f ca="1">Calc!AB43</f>
        <v/>
      </c>
      <c r="E42" s="77" t="str">
        <f ca="1">IF(Calc!AC43&lt;&gt;"",Calc!AC43,"")</f>
        <v/>
      </c>
      <c r="F42" s="79">
        <f>Calc!AE43</f>
        <v>0</v>
      </c>
      <c r="G42" s="74">
        <f>Calc!AF43</f>
        <v>0</v>
      </c>
      <c r="H42" s="74" t="str">
        <f ca="1">Calc!AG43</f>
        <v/>
      </c>
      <c r="I42" s="75" t="str">
        <f ca="1">Calc!AH43</f>
        <v/>
      </c>
      <c r="J42" s="77" t="str">
        <f ca="1">Calc!AI43</f>
        <v/>
      </c>
    </row>
    <row r="43" spans="1:10" ht="15">
      <c r="A43" s="73">
        <f>Calc!Y44</f>
        <v>0</v>
      </c>
      <c r="B43" s="74">
        <f>Calc!Z44</f>
        <v>0</v>
      </c>
      <c r="C43" s="74" t="str">
        <f ca="1">Calc!AA44</f>
        <v/>
      </c>
      <c r="D43" s="75" t="str">
        <f ca="1">Calc!AB44</f>
        <v/>
      </c>
      <c r="E43" s="77" t="str">
        <f ca="1">IF(Calc!AC44&lt;&gt;"",Calc!AC44,"")</f>
        <v/>
      </c>
      <c r="F43" s="79">
        <f>Calc!AE44</f>
        <v>0</v>
      </c>
      <c r="G43" s="74">
        <f>Calc!AF44</f>
        <v>0</v>
      </c>
      <c r="H43" s="74" t="str">
        <f ca="1">Calc!AG44</f>
        <v/>
      </c>
      <c r="I43" s="75" t="str">
        <f ca="1">Calc!AH44</f>
        <v/>
      </c>
      <c r="J43" s="77" t="str">
        <f ca="1">Calc!AI44</f>
        <v/>
      </c>
    </row>
    <row r="44" spans="1:10" ht="15">
      <c r="A44" s="73">
        <f>Calc!Y45</f>
        <v>0</v>
      </c>
      <c r="B44" s="74">
        <f>Calc!Z45</f>
        <v>0</v>
      </c>
      <c r="C44" s="74" t="str">
        <f ca="1">Calc!AA45</f>
        <v/>
      </c>
      <c r="D44" s="75" t="str">
        <f ca="1">Calc!AB45</f>
        <v/>
      </c>
      <c r="E44" s="77" t="str">
        <f ca="1">IF(Calc!AC45&lt;&gt;"",Calc!AC45,"")</f>
        <v/>
      </c>
      <c r="F44" s="79">
        <f>Calc!AE45</f>
        <v>0</v>
      </c>
      <c r="G44" s="74">
        <f>Calc!AF45</f>
        <v>0</v>
      </c>
      <c r="H44" s="74" t="str">
        <f ca="1">Calc!AG45</f>
        <v/>
      </c>
      <c r="I44" s="75" t="str">
        <f ca="1">Calc!AH45</f>
        <v/>
      </c>
      <c r="J44" s="77" t="str">
        <f ca="1">Calc!AI45</f>
        <v/>
      </c>
    </row>
    <row r="45" spans="1:10" ht="15">
      <c r="A45" s="73">
        <f>Calc!Y46</f>
        <v>0</v>
      </c>
      <c r="B45" s="74">
        <f>Calc!Z46</f>
        <v>0</v>
      </c>
      <c r="C45" s="74" t="str">
        <f ca="1">Calc!AA46</f>
        <v/>
      </c>
      <c r="D45" s="75" t="str">
        <f ca="1">Calc!AB46</f>
        <v/>
      </c>
      <c r="E45" s="77" t="str">
        <f ca="1">IF(Calc!AC46&lt;&gt;"",Calc!AC46,"")</f>
        <v/>
      </c>
      <c r="F45" s="79">
        <f>Calc!AE46</f>
        <v>0</v>
      </c>
      <c r="G45" s="74">
        <f>Calc!AF46</f>
        <v>0</v>
      </c>
      <c r="H45" s="74" t="str">
        <f ca="1">Calc!AG46</f>
        <v/>
      </c>
      <c r="I45" s="75" t="str">
        <f ca="1">Calc!AH46</f>
        <v/>
      </c>
      <c r="J45" s="77" t="str">
        <f ca="1">Calc!AI46</f>
        <v/>
      </c>
    </row>
    <row r="46" spans="1:10" ht="15">
      <c r="A46" s="73">
        <f>Calc!Y47</f>
        <v>0</v>
      </c>
      <c r="B46" s="74">
        <f>Calc!Z47</f>
        <v>0</v>
      </c>
      <c r="C46" s="74" t="str">
        <f ca="1">Calc!AA47</f>
        <v/>
      </c>
      <c r="D46" s="75" t="str">
        <f ca="1">Calc!AB47</f>
        <v/>
      </c>
      <c r="E46" s="77" t="str">
        <f ca="1">IF(Calc!AC47&lt;&gt;"",Calc!AC47,"")</f>
        <v/>
      </c>
      <c r="F46" s="79">
        <f>Calc!AE47</f>
        <v>0</v>
      </c>
      <c r="G46" s="74">
        <f>Calc!AF47</f>
        <v>0</v>
      </c>
      <c r="H46" s="74" t="str">
        <f ca="1">Calc!AG47</f>
        <v/>
      </c>
      <c r="I46" s="75" t="str">
        <f ca="1">Calc!AH47</f>
        <v/>
      </c>
      <c r="J46" s="77" t="str">
        <f ca="1">Calc!AI47</f>
        <v/>
      </c>
    </row>
    <row r="47" spans="1:10" ht="15">
      <c r="A47" s="73">
        <f>Calc!Y48</f>
        <v>0</v>
      </c>
      <c r="B47" s="74">
        <f>Calc!Z48</f>
        <v>0</v>
      </c>
      <c r="C47" s="74" t="str">
        <f ca="1">Calc!AA48</f>
        <v/>
      </c>
      <c r="D47" s="75" t="str">
        <f ca="1">Calc!AB48</f>
        <v/>
      </c>
      <c r="E47" s="77" t="str">
        <f ca="1">IF(Calc!AC48&lt;&gt;"",Calc!AC48,"")</f>
        <v/>
      </c>
      <c r="F47" s="79">
        <f>Calc!AE48</f>
        <v>0</v>
      </c>
      <c r="G47" s="74">
        <f>Calc!AF48</f>
        <v>0</v>
      </c>
      <c r="H47" s="74" t="str">
        <f ca="1">Calc!AG48</f>
        <v/>
      </c>
      <c r="I47" s="75" t="str">
        <f ca="1">Calc!AH48</f>
        <v/>
      </c>
      <c r="J47" s="77" t="str">
        <f ca="1">Calc!AI48</f>
        <v/>
      </c>
    </row>
    <row r="48" spans="1:10" ht="15">
      <c r="A48" s="73">
        <f>Calc!Y49</f>
        <v>0</v>
      </c>
      <c r="B48" s="74">
        <f>Calc!Z49</f>
        <v>0</v>
      </c>
      <c r="C48" s="74" t="str">
        <f ca="1">Calc!AA49</f>
        <v/>
      </c>
      <c r="D48" s="75" t="str">
        <f ca="1">Calc!AB49</f>
        <v/>
      </c>
      <c r="E48" s="77" t="str">
        <f ca="1">IF(Calc!AC49&lt;&gt;"",Calc!AC49,"")</f>
        <v/>
      </c>
      <c r="F48" s="79">
        <f>Calc!AE49</f>
        <v>0</v>
      </c>
      <c r="G48" s="74">
        <f>Calc!AF49</f>
        <v>0</v>
      </c>
      <c r="H48" s="74" t="str">
        <f ca="1">Calc!AG49</f>
        <v/>
      </c>
      <c r="I48" s="75" t="str">
        <f ca="1">Calc!AH49</f>
        <v/>
      </c>
      <c r="J48" s="77" t="str">
        <f ca="1">Calc!AI49</f>
        <v/>
      </c>
    </row>
    <row r="49" spans="1:10" ht="15">
      <c r="A49" s="73">
        <f>Calc!Y50</f>
        <v>0</v>
      </c>
      <c r="B49" s="74">
        <f>Calc!Z50</f>
        <v>0</v>
      </c>
      <c r="C49" s="74" t="str">
        <f ca="1">Calc!AA50</f>
        <v/>
      </c>
      <c r="D49" s="75" t="str">
        <f ca="1">Calc!AB50</f>
        <v/>
      </c>
      <c r="E49" s="77" t="str">
        <f ca="1">IF(Calc!AC50&lt;&gt;"",Calc!AC50,"")</f>
        <v/>
      </c>
      <c r="F49" s="79">
        <f>Calc!AE50</f>
        <v>0</v>
      </c>
      <c r="G49" s="74">
        <f>Calc!AF50</f>
        <v>0</v>
      </c>
      <c r="H49" s="74" t="str">
        <f ca="1">Calc!AG50</f>
        <v/>
      </c>
      <c r="I49" s="75" t="str">
        <f ca="1">Calc!AH50</f>
        <v/>
      </c>
      <c r="J49" s="77" t="str">
        <f ca="1">Calc!AI50</f>
        <v/>
      </c>
    </row>
    <row r="50" spans="1:10" ht="15">
      <c r="A50" s="73">
        <f>Calc!Y51</f>
        <v>0</v>
      </c>
      <c r="B50" s="74">
        <f>Calc!Z51</f>
        <v>0</v>
      </c>
      <c r="C50" s="74" t="str">
        <f ca="1">Calc!AA51</f>
        <v/>
      </c>
      <c r="D50" s="75" t="str">
        <f ca="1">Calc!AB51</f>
        <v/>
      </c>
      <c r="E50" s="77" t="str">
        <f ca="1">IF(Calc!AC51&lt;&gt;"",Calc!AC51,"")</f>
        <v/>
      </c>
      <c r="F50" s="79">
        <f>Calc!AE51</f>
        <v>0</v>
      </c>
      <c r="G50" s="74">
        <f>Calc!AF51</f>
        <v>0</v>
      </c>
      <c r="H50" s="74" t="str">
        <f ca="1">Calc!AG51</f>
        <v/>
      </c>
      <c r="I50" s="75" t="str">
        <f ca="1">Calc!AH51</f>
        <v/>
      </c>
      <c r="J50" s="77" t="str">
        <f ca="1">Calc!AI51</f>
        <v/>
      </c>
    </row>
    <row r="51" spans="1:10" ht="15">
      <c r="A51" s="73">
        <f>Calc!Y52</f>
        <v>0</v>
      </c>
      <c r="B51" s="74">
        <f>Calc!Z52</f>
        <v>0</v>
      </c>
      <c r="C51" s="74" t="str">
        <f ca="1">Calc!AA52</f>
        <v/>
      </c>
      <c r="D51" s="75" t="str">
        <f ca="1">Calc!AB52</f>
        <v/>
      </c>
      <c r="E51" s="77" t="str">
        <f ca="1">IF(Calc!AC52&lt;&gt;"",Calc!AC52,"")</f>
        <v/>
      </c>
      <c r="F51" s="79">
        <f>Calc!AE52</f>
        <v>0</v>
      </c>
      <c r="G51" s="74">
        <f>Calc!AF52</f>
        <v>0</v>
      </c>
      <c r="H51" s="74" t="str">
        <f ca="1">Calc!AG52</f>
        <v/>
      </c>
      <c r="I51" s="75" t="str">
        <f ca="1">Calc!AH52</f>
        <v/>
      </c>
      <c r="J51" s="77" t="str">
        <f ca="1">Calc!AI52</f>
        <v/>
      </c>
    </row>
    <row r="52" spans="1:10" ht="15">
      <c r="A52" s="73">
        <f>Calc!Y53</f>
        <v>0</v>
      </c>
      <c r="B52" s="74">
        <f>Calc!Z53</f>
        <v>0</v>
      </c>
      <c r="C52" s="74" t="str">
        <f ca="1">Calc!AA53</f>
        <v/>
      </c>
      <c r="D52" s="75" t="str">
        <f ca="1">Calc!AB53</f>
        <v/>
      </c>
      <c r="E52" s="77" t="str">
        <f ca="1">IF(Calc!AC53&lt;&gt;"",Calc!AC53,"")</f>
        <v/>
      </c>
      <c r="F52" s="79">
        <f>Calc!AE53</f>
        <v>0</v>
      </c>
      <c r="G52" s="74">
        <f>Calc!AF53</f>
        <v>0</v>
      </c>
      <c r="H52" s="74" t="str">
        <f ca="1">Calc!AG53</f>
        <v/>
      </c>
      <c r="I52" s="75" t="str">
        <f ca="1">Calc!AH53</f>
        <v/>
      </c>
      <c r="J52" s="77" t="str">
        <f ca="1">Calc!AI53</f>
        <v/>
      </c>
    </row>
    <row r="53" spans="1:10" ht="15">
      <c r="A53" s="73">
        <f>Calc!Y54</f>
        <v>0</v>
      </c>
      <c r="B53" s="74">
        <f>Calc!Z54</f>
        <v>0</v>
      </c>
      <c r="C53" s="74" t="str">
        <f ca="1">Calc!AA54</f>
        <v/>
      </c>
      <c r="D53" s="75" t="str">
        <f ca="1">Calc!AB54</f>
        <v/>
      </c>
      <c r="E53" s="77" t="str">
        <f ca="1">IF(Calc!AC54&lt;&gt;"",Calc!AC54,"")</f>
        <v/>
      </c>
      <c r="F53" s="79">
        <f>Calc!AE54</f>
        <v>0</v>
      </c>
      <c r="G53" s="74">
        <f>Calc!AF54</f>
        <v>0</v>
      </c>
      <c r="H53" s="74" t="str">
        <f ca="1">Calc!AG54</f>
        <v/>
      </c>
      <c r="I53" s="75" t="str">
        <f ca="1">Calc!AH54</f>
        <v/>
      </c>
      <c r="J53" s="77" t="str">
        <f ca="1">Calc!AI54</f>
        <v/>
      </c>
    </row>
    <row r="54" spans="1:10" ht="15">
      <c r="A54" s="73">
        <f>Calc!Y55</f>
        <v>0</v>
      </c>
      <c r="B54" s="74">
        <f>Calc!Z55</f>
        <v>0</v>
      </c>
      <c r="C54" s="74" t="str">
        <f ca="1">Calc!AA55</f>
        <v/>
      </c>
      <c r="D54" s="75" t="str">
        <f ca="1">Calc!AB55</f>
        <v/>
      </c>
      <c r="E54" s="77" t="str">
        <f ca="1">IF(Calc!AC55&lt;&gt;"",Calc!AC55,"")</f>
        <v/>
      </c>
      <c r="F54" s="79">
        <f>Calc!AE55</f>
        <v>0</v>
      </c>
      <c r="G54" s="74">
        <f>Calc!AF55</f>
        <v>0</v>
      </c>
      <c r="H54" s="74" t="str">
        <f ca="1">Calc!AG55</f>
        <v/>
      </c>
      <c r="I54" s="75" t="str">
        <f ca="1">Calc!AH55</f>
        <v/>
      </c>
      <c r="J54" s="77" t="str">
        <f ca="1">Calc!AI55</f>
        <v/>
      </c>
    </row>
    <row r="55" spans="1:10" ht="15">
      <c r="A55" s="73">
        <f>Calc!Y56</f>
        <v>0</v>
      </c>
      <c r="B55" s="74">
        <f>Calc!Z56</f>
        <v>0</v>
      </c>
      <c r="C55" s="74" t="str">
        <f ca="1">Calc!AA56</f>
        <v/>
      </c>
      <c r="D55" s="75" t="str">
        <f ca="1">Calc!AB56</f>
        <v/>
      </c>
      <c r="E55" s="77" t="str">
        <f ca="1">IF(Calc!AC56&lt;&gt;"",Calc!AC56,"")</f>
        <v/>
      </c>
      <c r="F55" s="79">
        <f>Calc!AE56</f>
        <v>0</v>
      </c>
      <c r="G55" s="74">
        <f>Calc!AF56</f>
        <v>0</v>
      </c>
      <c r="H55" s="74" t="str">
        <f ca="1">Calc!AG56</f>
        <v/>
      </c>
      <c r="I55" s="75" t="str">
        <f ca="1">Calc!AH56</f>
        <v/>
      </c>
      <c r="J55" s="77" t="str">
        <f ca="1">Calc!AI56</f>
        <v/>
      </c>
    </row>
    <row r="56" spans="1:10" ht="15">
      <c r="A56" s="73">
        <f>Calc!Y57</f>
        <v>0</v>
      </c>
      <c r="B56" s="74">
        <f>Calc!Z57</f>
        <v>0</v>
      </c>
      <c r="C56" s="74" t="str">
        <f ca="1">Calc!AA57</f>
        <v/>
      </c>
      <c r="D56" s="75" t="str">
        <f ca="1">Calc!AB57</f>
        <v/>
      </c>
      <c r="E56" s="77" t="str">
        <f ca="1">IF(Calc!AC57&lt;&gt;"",Calc!AC57,"")</f>
        <v/>
      </c>
      <c r="F56" s="79">
        <f>Calc!AE57</f>
        <v>0</v>
      </c>
      <c r="G56" s="74">
        <f>Calc!AF57</f>
        <v>0</v>
      </c>
      <c r="H56" s="74" t="str">
        <f ca="1">Calc!AG57</f>
        <v/>
      </c>
      <c r="I56" s="75" t="str">
        <f ca="1">Calc!AH57</f>
        <v/>
      </c>
      <c r="J56" s="77" t="str">
        <f ca="1">Calc!AI57</f>
        <v/>
      </c>
    </row>
    <row r="57" spans="1:10" ht="15">
      <c r="A57" s="73">
        <f>Calc!Y58</f>
        <v>0</v>
      </c>
      <c r="B57" s="74">
        <f>Calc!Z58</f>
        <v>0</v>
      </c>
      <c r="C57" s="74" t="str">
        <f ca="1">Calc!AA58</f>
        <v/>
      </c>
      <c r="D57" s="75" t="str">
        <f ca="1">Calc!AB58</f>
        <v/>
      </c>
      <c r="E57" s="77" t="str">
        <f ca="1">IF(Calc!AC58&lt;&gt;"",Calc!AC58,"")</f>
        <v/>
      </c>
      <c r="F57" s="79">
        <f>Calc!AE58</f>
        <v>0</v>
      </c>
      <c r="G57" s="74">
        <f>Calc!AF58</f>
        <v>0</v>
      </c>
      <c r="H57" s="74" t="str">
        <f ca="1">Calc!AG58</f>
        <v/>
      </c>
      <c r="I57" s="75" t="str">
        <f ca="1">Calc!AH58</f>
        <v/>
      </c>
      <c r="J57" s="77" t="str">
        <f ca="1">Calc!AI58</f>
        <v/>
      </c>
    </row>
    <row r="58" spans="1:10" ht="15">
      <c r="A58" s="73">
        <f>Calc!Y59</f>
        <v>0</v>
      </c>
      <c r="B58" s="74">
        <f>Calc!Z59</f>
        <v>0</v>
      </c>
      <c r="C58" s="74" t="str">
        <f ca="1">Calc!AA59</f>
        <v/>
      </c>
      <c r="D58" s="75" t="str">
        <f ca="1">Calc!AB59</f>
        <v/>
      </c>
      <c r="E58" s="77" t="str">
        <f ca="1">IF(Calc!AC59&lt;&gt;"",Calc!AC59,"")</f>
        <v/>
      </c>
      <c r="F58" s="79">
        <f>Calc!AE59</f>
        <v>0</v>
      </c>
      <c r="G58" s="74">
        <f>Calc!AF59</f>
        <v>0</v>
      </c>
      <c r="H58" s="74" t="str">
        <f ca="1">Calc!AG59</f>
        <v/>
      </c>
      <c r="I58" s="75" t="str">
        <f ca="1">Calc!AH59</f>
        <v/>
      </c>
      <c r="J58" s="77" t="str">
        <f ca="1">Calc!AI59</f>
        <v/>
      </c>
    </row>
    <row r="59" spans="1:10" ht="15">
      <c r="A59" s="73">
        <f>Calc!Y60</f>
        <v>0</v>
      </c>
      <c r="B59" s="74">
        <f>Calc!Z60</f>
        <v>0</v>
      </c>
      <c r="C59" s="74" t="str">
        <f ca="1">Calc!AA60</f>
        <v/>
      </c>
      <c r="D59" s="75" t="str">
        <f ca="1">Calc!AB60</f>
        <v/>
      </c>
      <c r="E59" s="77" t="str">
        <f ca="1">IF(Calc!AC60&lt;&gt;"",Calc!AC60,"")</f>
        <v/>
      </c>
      <c r="F59" s="79">
        <f>Calc!AE60</f>
        <v>0</v>
      </c>
      <c r="G59" s="74">
        <f>Calc!AF60</f>
        <v>0</v>
      </c>
      <c r="H59" s="74" t="str">
        <f ca="1">Calc!AG60</f>
        <v/>
      </c>
      <c r="I59" s="75" t="str">
        <f ca="1">Calc!AH60</f>
        <v/>
      </c>
      <c r="J59" s="77" t="str">
        <f ca="1">Calc!AI60</f>
        <v/>
      </c>
    </row>
    <row r="60" spans="1:10" ht="15">
      <c r="A60" s="73">
        <f>Calc!Y61</f>
        <v>0</v>
      </c>
      <c r="B60" s="74">
        <f>Calc!Z61</f>
        <v>0</v>
      </c>
      <c r="C60" s="74" t="str">
        <f ca="1">Calc!AA61</f>
        <v/>
      </c>
      <c r="D60" s="75" t="str">
        <f ca="1">Calc!AB61</f>
        <v/>
      </c>
      <c r="E60" s="77" t="str">
        <f ca="1">IF(Calc!AC61&lt;&gt;"",Calc!AC61,"")</f>
        <v/>
      </c>
      <c r="F60" s="79">
        <f>Calc!AE61</f>
        <v>0</v>
      </c>
      <c r="G60" s="74">
        <f>Calc!AF61</f>
        <v>0</v>
      </c>
      <c r="H60" s="74" t="str">
        <f ca="1">Calc!AG61</f>
        <v/>
      </c>
      <c r="I60" s="75" t="str">
        <f ca="1">Calc!AH61</f>
        <v/>
      </c>
      <c r="J60" s="77" t="str">
        <f ca="1">Calc!AI61</f>
        <v/>
      </c>
    </row>
    <row r="61" spans="1:10" ht="15">
      <c r="A61" s="73">
        <f>Calc!Y62</f>
        <v>0</v>
      </c>
      <c r="B61" s="74">
        <f>Calc!Z62</f>
        <v>0</v>
      </c>
      <c r="C61" s="74" t="str">
        <f ca="1">Calc!AA62</f>
        <v/>
      </c>
      <c r="D61" s="75" t="str">
        <f ca="1">Calc!AB62</f>
        <v/>
      </c>
      <c r="E61" s="77" t="str">
        <f ca="1">IF(Calc!AC62&lt;&gt;"",Calc!AC62,"")</f>
        <v/>
      </c>
      <c r="F61" s="79">
        <f>Calc!AE62</f>
        <v>0</v>
      </c>
      <c r="G61" s="74">
        <f>Calc!AF62</f>
        <v>0</v>
      </c>
      <c r="H61" s="74" t="str">
        <f ca="1">Calc!AG62</f>
        <v/>
      </c>
      <c r="I61" s="75" t="str">
        <f ca="1">Calc!AH62</f>
        <v/>
      </c>
      <c r="J61" s="77" t="str">
        <f ca="1">Calc!AI62</f>
        <v/>
      </c>
    </row>
    <row r="62" spans="1:10" ht="15">
      <c r="A62" s="73">
        <f>Calc!Y63</f>
        <v>0</v>
      </c>
      <c r="B62" s="74">
        <f>Calc!Z63</f>
        <v>0</v>
      </c>
      <c r="C62" s="74" t="str">
        <f ca="1">Calc!AA63</f>
        <v/>
      </c>
      <c r="D62" s="75" t="str">
        <f ca="1">Calc!AB63</f>
        <v/>
      </c>
      <c r="E62" s="77" t="str">
        <f ca="1">IF(Calc!AC63&lt;&gt;"",Calc!AC63,"")</f>
        <v/>
      </c>
      <c r="F62" s="79">
        <f>Calc!AE63</f>
        <v>0</v>
      </c>
      <c r="G62" s="74">
        <f>Calc!AF63</f>
        <v>0</v>
      </c>
      <c r="H62" s="74" t="str">
        <f ca="1">Calc!AG63</f>
        <v/>
      </c>
      <c r="I62" s="75" t="str">
        <f ca="1">Calc!AH63</f>
        <v/>
      </c>
      <c r="J62" s="77" t="str">
        <f ca="1">Calc!AI63</f>
        <v/>
      </c>
    </row>
    <row r="63" spans="1:10" ht="15">
      <c r="A63" s="73">
        <f>Calc!Y64</f>
        <v>0</v>
      </c>
      <c r="B63" s="74">
        <f>Calc!Z64</f>
        <v>0</v>
      </c>
      <c r="C63" s="74" t="str">
        <f ca="1">Calc!AA64</f>
        <v/>
      </c>
      <c r="D63" s="75" t="str">
        <f ca="1">Calc!AB64</f>
        <v/>
      </c>
      <c r="E63" s="77" t="str">
        <f ca="1">IF(Calc!AC64&lt;&gt;"",Calc!AC64,"")</f>
        <v/>
      </c>
      <c r="F63" s="79">
        <f>Calc!AE64</f>
        <v>0</v>
      </c>
      <c r="G63" s="74">
        <f>Calc!AF64</f>
        <v>0</v>
      </c>
      <c r="H63" s="74" t="str">
        <f ca="1">Calc!AG64</f>
        <v/>
      </c>
      <c r="I63" s="75" t="str">
        <f ca="1">Calc!AH64</f>
        <v/>
      </c>
      <c r="J63" s="77" t="str">
        <f ca="1">Calc!AI64</f>
        <v/>
      </c>
    </row>
    <row r="64" spans="1:10" ht="15">
      <c r="A64" s="73">
        <f>Calc!Y65</f>
        <v>0</v>
      </c>
      <c r="B64" s="74">
        <f>Calc!Z65</f>
        <v>0</v>
      </c>
      <c r="C64" s="74" t="str">
        <f ca="1">Calc!AA65</f>
        <v/>
      </c>
      <c r="D64" s="75" t="str">
        <f ca="1">Calc!AB65</f>
        <v/>
      </c>
      <c r="E64" s="77" t="str">
        <f ca="1">IF(Calc!AC65&lt;&gt;"",Calc!AC65,"")</f>
        <v/>
      </c>
      <c r="F64" s="79">
        <f>Calc!AE65</f>
        <v>0</v>
      </c>
      <c r="G64" s="74">
        <f>Calc!AF65</f>
        <v>0</v>
      </c>
      <c r="H64" s="74" t="str">
        <f ca="1">Calc!AG65</f>
        <v/>
      </c>
      <c r="I64" s="75" t="str">
        <f ca="1">Calc!AH65</f>
        <v/>
      </c>
      <c r="J64" s="77" t="str">
        <f ca="1">Calc!AI65</f>
        <v/>
      </c>
    </row>
    <row r="65" spans="1:10" ht="15">
      <c r="A65" s="73">
        <f>Calc!Y66</f>
        <v>0</v>
      </c>
      <c r="B65" s="74">
        <f>Calc!Z66</f>
        <v>0</v>
      </c>
      <c r="C65" s="74" t="str">
        <f ca="1">Calc!AA66</f>
        <v/>
      </c>
      <c r="D65" s="75" t="str">
        <f ca="1">Calc!AB66</f>
        <v/>
      </c>
      <c r="E65" s="77" t="str">
        <f ca="1">IF(Calc!AC66&lt;&gt;"",Calc!AC66,"")</f>
        <v/>
      </c>
      <c r="F65" s="79">
        <f>Calc!AE66</f>
        <v>0</v>
      </c>
      <c r="G65" s="74">
        <f>Calc!AF66</f>
        <v>0</v>
      </c>
      <c r="H65" s="74" t="str">
        <f ca="1">Calc!AG66</f>
        <v/>
      </c>
      <c r="I65" s="75" t="str">
        <f ca="1">Calc!AH66</f>
        <v/>
      </c>
      <c r="J65" s="77" t="str">
        <f ca="1">Calc!AI66</f>
        <v/>
      </c>
    </row>
    <row r="66" spans="1:10" ht="15">
      <c r="A66" s="73">
        <f>Calc!Y67</f>
        <v>0</v>
      </c>
      <c r="B66" s="74">
        <f>Calc!Z67</f>
        <v>0</v>
      </c>
      <c r="C66" s="74" t="str">
        <f ca="1">Calc!AA67</f>
        <v/>
      </c>
      <c r="D66" s="75" t="str">
        <f ca="1">Calc!AB67</f>
        <v/>
      </c>
      <c r="E66" s="77" t="str">
        <f ca="1">IF(Calc!AC67&lt;&gt;"",Calc!AC67,"")</f>
        <v/>
      </c>
      <c r="F66" s="79">
        <f>Calc!AE67</f>
        <v>0</v>
      </c>
      <c r="G66" s="74">
        <f>Calc!AF67</f>
        <v>0</v>
      </c>
      <c r="H66" s="74" t="str">
        <f ca="1">Calc!AG67</f>
        <v/>
      </c>
      <c r="I66" s="75" t="str">
        <f ca="1">Calc!AH67</f>
        <v/>
      </c>
      <c r="J66" s="77" t="str">
        <f ca="1">Calc!AI67</f>
        <v/>
      </c>
    </row>
    <row r="67" spans="1:10" ht="15">
      <c r="A67" s="73">
        <f>Calc!Y68</f>
        <v>0</v>
      </c>
      <c r="B67" s="74">
        <f>Calc!Z68</f>
        <v>0</v>
      </c>
      <c r="C67" s="74" t="str">
        <f ca="1">Calc!AA68</f>
        <v/>
      </c>
      <c r="D67" s="75" t="str">
        <f ca="1">Calc!AB68</f>
        <v/>
      </c>
      <c r="E67" s="77" t="str">
        <f ca="1">IF(Calc!AC68&lt;&gt;"",Calc!AC68,"")</f>
        <v/>
      </c>
      <c r="F67" s="79">
        <f>Calc!AE68</f>
        <v>0</v>
      </c>
      <c r="G67" s="74">
        <f>Calc!AF68</f>
        <v>0</v>
      </c>
      <c r="H67" s="74" t="str">
        <f ca="1">Calc!AG68</f>
        <v/>
      </c>
      <c r="I67" s="75" t="str">
        <f ca="1">Calc!AH68</f>
        <v/>
      </c>
      <c r="J67" s="77" t="str">
        <f ca="1">Calc!AI68</f>
        <v/>
      </c>
    </row>
    <row r="68" spans="1:10" ht="15">
      <c r="A68" s="73">
        <f>Calc!Y69</f>
        <v>0</v>
      </c>
      <c r="B68" s="74">
        <f>Calc!Z69</f>
        <v>0</v>
      </c>
      <c r="C68" s="74" t="str">
        <f ca="1">Calc!AA69</f>
        <v/>
      </c>
      <c r="D68" s="75" t="str">
        <f ca="1">Calc!AB69</f>
        <v/>
      </c>
      <c r="E68" s="77" t="str">
        <f ca="1">IF(Calc!AC69&lt;&gt;"",Calc!AC69,"")</f>
        <v/>
      </c>
      <c r="F68" s="79">
        <f>Calc!AE69</f>
        <v>0</v>
      </c>
      <c r="G68" s="74">
        <f>Calc!AF69</f>
        <v>0</v>
      </c>
      <c r="H68" s="74" t="str">
        <f ca="1">Calc!AG69</f>
        <v/>
      </c>
      <c r="I68" s="75" t="str">
        <f ca="1">Calc!AH69</f>
        <v/>
      </c>
      <c r="J68" s="77" t="str">
        <f ca="1">Calc!AI69</f>
        <v/>
      </c>
    </row>
    <row r="69" spans="1:10" ht="15">
      <c r="A69" s="73">
        <f>Calc!Y70</f>
        <v>0</v>
      </c>
      <c r="B69" s="74">
        <f>Calc!Z70</f>
        <v>0</v>
      </c>
      <c r="C69" s="74" t="str">
        <f ca="1">Calc!AA70</f>
        <v/>
      </c>
      <c r="D69" s="75" t="str">
        <f ca="1">Calc!AB70</f>
        <v/>
      </c>
      <c r="E69" s="77" t="str">
        <f ca="1">IF(Calc!AC70&lt;&gt;"",Calc!AC70,"")</f>
        <v/>
      </c>
      <c r="F69" s="79">
        <f>Calc!AE70</f>
        <v>0</v>
      </c>
      <c r="G69" s="74">
        <f>Calc!AF70</f>
        <v>0</v>
      </c>
      <c r="H69" s="74" t="str">
        <f ca="1">Calc!AG70</f>
        <v/>
      </c>
      <c r="I69" s="75" t="str">
        <f ca="1">Calc!AH70</f>
        <v/>
      </c>
      <c r="J69" s="77" t="str">
        <f ca="1">Calc!AI70</f>
        <v/>
      </c>
    </row>
    <row r="70" spans="1:10" ht="15">
      <c r="A70" s="73">
        <f>Calc!Y71</f>
        <v>0</v>
      </c>
      <c r="B70" s="74">
        <f>Calc!Z71</f>
        <v>0</v>
      </c>
      <c r="C70" s="74" t="str">
        <f ca="1">Calc!AA71</f>
        <v/>
      </c>
      <c r="D70" s="75" t="str">
        <f ca="1">Calc!AB71</f>
        <v/>
      </c>
      <c r="E70" s="77" t="str">
        <f ca="1">IF(Calc!AC71&lt;&gt;"",Calc!AC71,"")</f>
        <v/>
      </c>
      <c r="F70" s="79">
        <f>Calc!AE71</f>
        <v>0</v>
      </c>
      <c r="G70" s="74">
        <f>Calc!AF71</f>
        <v>0</v>
      </c>
      <c r="H70" s="74" t="str">
        <f ca="1">Calc!AG71</f>
        <v/>
      </c>
      <c r="I70" s="75" t="str">
        <f ca="1">Calc!AH71</f>
        <v/>
      </c>
      <c r="J70" s="77" t="str">
        <f ca="1">Calc!AI71</f>
        <v/>
      </c>
    </row>
    <row r="71" spans="1:10" ht="15">
      <c r="A71" s="73">
        <f>Calc!Y72</f>
        <v>0</v>
      </c>
      <c r="B71" s="74">
        <f>Calc!Z72</f>
        <v>0</v>
      </c>
      <c r="C71" s="74" t="str">
        <f ca="1">Calc!AA72</f>
        <v/>
      </c>
      <c r="D71" s="75" t="str">
        <f ca="1">Calc!AB72</f>
        <v/>
      </c>
      <c r="E71" s="77" t="str">
        <f ca="1">IF(Calc!AC72&lt;&gt;"",Calc!AC72,"")</f>
        <v/>
      </c>
      <c r="F71" s="79">
        <f>Calc!AE72</f>
        <v>0</v>
      </c>
      <c r="G71" s="74">
        <f>Calc!AF72</f>
        <v>0</v>
      </c>
      <c r="H71" s="74" t="str">
        <f ca="1">Calc!AG72</f>
        <v/>
      </c>
      <c r="I71" s="75" t="str">
        <f ca="1">Calc!AH72</f>
        <v/>
      </c>
      <c r="J71" s="77" t="str">
        <f ca="1">Calc!AI72</f>
        <v/>
      </c>
    </row>
    <row r="72" spans="1:10" ht="15">
      <c r="A72" s="73">
        <f>Calc!Y73</f>
        <v>0</v>
      </c>
      <c r="B72" s="74">
        <f>Calc!Z73</f>
        <v>0</v>
      </c>
      <c r="C72" s="74" t="str">
        <f ca="1">Calc!AA73</f>
        <v/>
      </c>
      <c r="D72" s="75" t="str">
        <f ca="1">Calc!AB73</f>
        <v/>
      </c>
      <c r="E72" s="77" t="str">
        <f ca="1">IF(Calc!AC73&lt;&gt;"",Calc!AC73,"")</f>
        <v/>
      </c>
      <c r="F72" s="79">
        <f>Calc!AE73</f>
        <v>0</v>
      </c>
      <c r="G72" s="74">
        <f>Calc!AF73</f>
        <v>0</v>
      </c>
      <c r="H72" s="74" t="str">
        <f ca="1">Calc!AG73</f>
        <v/>
      </c>
      <c r="I72" s="75" t="str">
        <f ca="1">Calc!AH73</f>
        <v/>
      </c>
      <c r="J72" s="77" t="str">
        <f ca="1">Calc!AI73</f>
        <v/>
      </c>
    </row>
    <row r="73" spans="1:10" ht="15">
      <c r="A73" s="73">
        <f>Calc!Y74</f>
        <v>0</v>
      </c>
      <c r="B73" s="74">
        <f>Calc!Z74</f>
        <v>0</v>
      </c>
      <c r="C73" s="74" t="str">
        <f ca="1">Calc!AA74</f>
        <v/>
      </c>
      <c r="D73" s="75" t="str">
        <f ca="1">Calc!AB74</f>
        <v/>
      </c>
      <c r="E73" s="77" t="str">
        <f ca="1">IF(Calc!AC74&lt;&gt;"",Calc!AC74,"")</f>
        <v/>
      </c>
      <c r="F73" s="79">
        <f>Calc!AE74</f>
        <v>0</v>
      </c>
      <c r="G73" s="74">
        <f>Calc!AF74</f>
        <v>0</v>
      </c>
      <c r="H73" s="74" t="str">
        <f ca="1">Calc!AG74</f>
        <v/>
      </c>
      <c r="I73" s="75" t="str">
        <f ca="1">Calc!AH74</f>
        <v/>
      </c>
      <c r="J73" s="77" t="str">
        <f ca="1">Calc!AI74</f>
        <v/>
      </c>
    </row>
    <row r="74" spans="1:10" ht="15">
      <c r="A74" s="73">
        <f>Calc!Y75</f>
        <v>0</v>
      </c>
      <c r="B74" s="74">
        <f>Calc!Z75</f>
        <v>0</v>
      </c>
      <c r="C74" s="74" t="str">
        <f ca="1">Calc!AA75</f>
        <v/>
      </c>
      <c r="D74" s="75" t="str">
        <f ca="1">Calc!AB75</f>
        <v/>
      </c>
      <c r="E74" s="77" t="str">
        <f ca="1">IF(Calc!AC75&lt;&gt;"",Calc!AC75,"")</f>
        <v/>
      </c>
      <c r="F74" s="79">
        <f>Calc!AE75</f>
        <v>0</v>
      </c>
      <c r="G74" s="74">
        <f>Calc!AF75</f>
        <v>0</v>
      </c>
      <c r="H74" s="74" t="str">
        <f ca="1">Calc!AG75</f>
        <v/>
      </c>
      <c r="I74" s="75" t="str">
        <f ca="1">Calc!AH75</f>
        <v/>
      </c>
      <c r="J74" s="77" t="str">
        <f ca="1">Calc!AI75</f>
        <v/>
      </c>
    </row>
    <row r="75" spans="1:10" ht="15">
      <c r="A75" s="73">
        <f>Calc!Y76</f>
        <v>0</v>
      </c>
      <c r="B75" s="74">
        <f>Calc!Z76</f>
        <v>0</v>
      </c>
      <c r="C75" s="74" t="str">
        <f ca="1">Calc!AA76</f>
        <v/>
      </c>
      <c r="D75" s="75" t="str">
        <f ca="1">Calc!AB76</f>
        <v/>
      </c>
      <c r="E75" s="77" t="str">
        <f ca="1">IF(Calc!AC76&lt;&gt;"",Calc!AC76,"")</f>
        <v/>
      </c>
      <c r="F75" s="79">
        <f>Calc!AE76</f>
        <v>0</v>
      </c>
      <c r="G75" s="74">
        <f>Calc!AF76</f>
        <v>0</v>
      </c>
      <c r="H75" s="74" t="str">
        <f ca="1">Calc!AG76</f>
        <v/>
      </c>
      <c r="I75" s="75" t="str">
        <f ca="1">Calc!AH76</f>
        <v/>
      </c>
      <c r="J75" s="77" t="str">
        <f ca="1">Calc!AI76</f>
        <v/>
      </c>
    </row>
    <row r="76" spans="1:10" ht="15">
      <c r="A76" s="73">
        <f>Calc!Y77</f>
        <v>0</v>
      </c>
      <c r="B76" s="74">
        <f>Calc!Z77</f>
        <v>0</v>
      </c>
      <c r="C76" s="74" t="str">
        <f ca="1">Calc!AA77</f>
        <v/>
      </c>
      <c r="D76" s="75" t="str">
        <f ca="1">Calc!AB77</f>
        <v/>
      </c>
      <c r="E76" s="77" t="str">
        <f ca="1">IF(Calc!AC77&lt;&gt;"",Calc!AC77,"")</f>
        <v/>
      </c>
      <c r="F76" s="79">
        <f>Calc!AE77</f>
        <v>0</v>
      </c>
      <c r="G76" s="74">
        <f>Calc!AF77</f>
        <v>0</v>
      </c>
      <c r="H76" s="74" t="str">
        <f ca="1">Calc!AG77</f>
        <v/>
      </c>
      <c r="I76" s="75" t="str">
        <f ca="1">Calc!AH77</f>
        <v/>
      </c>
      <c r="J76" s="77" t="str">
        <f ca="1">Calc!AI77</f>
        <v/>
      </c>
    </row>
    <row r="77" spans="1:10" ht="15">
      <c r="A77" s="73">
        <f>Calc!Y78</f>
        <v>0</v>
      </c>
      <c r="B77" s="74">
        <f>Calc!Z78</f>
        <v>0</v>
      </c>
      <c r="C77" s="74" t="str">
        <f ca="1">Calc!AA78</f>
        <v/>
      </c>
      <c r="D77" s="75" t="str">
        <f ca="1">Calc!AB78</f>
        <v/>
      </c>
      <c r="E77" s="77" t="str">
        <f ca="1">IF(Calc!AC78&lt;&gt;"",Calc!AC78,"")</f>
        <v/>
      </c>
      <c r="F77" s="79">
        <f>Calc!AE78</f>
        <v>0</v>
      </c>
      <c r="G77" s="74">
        <f>Calc!AF78</f>
        <v>0</v>
      </c>
      <c r="H77" s="74" t="str">
        <f ca="1">Calc!AG78</f>
        <v/>
      </c>
      <c r="I77" s="75" t="str">
        <f ca="1">Calc!AH78</f>
        <v/>
      </c>
      <c r="J77" s="77" t="str">
        <f ca="1">Calc!AI78</f>
        <v/>
      </c>
    </row>
    <row r="78" spans="1:10" ht="15">
      <c r="A78" s="73">
        <f>Calc!Y79</f>
        <v>0</v>
      </c>
      <c r="B78" s="74">
        <f>Calc!Z79</f>
        <v>0</v>
      </c>
      <c r="C78" s="74" t="str">
        <f ca="1">Calc!AA79</f>
        <v/>
      </c>
      <c r="D78" s="75" t="str">
        <f ca="1">Calc!AB79</f>
        <v/>
      </c>
      <c r="E78" s="77" t="str">
        <f ca="1">IF(Calc!AC79&lt;&gt;"",Calc!AC79,"")</f>
        <v/>
      </c>
      <c r="F78" s="79">
        <f>Calc!AE79</f>
        <v>0</v>
      </c>
      <c r="G78" s="74">
        <f>Calc!AF79</f>
        <v>0</v>
      </c>
      <c r="H78" s="74" t="str">
        <f ca="1">Calc!AG79</f>
        <v/>
      </c>
      <c r="I78" s="75" t="str">
        <f ca="1">Calc!AH79</f>
        <v/>
      </c>
      <c r="J78" s="77" t="str">
        <f ca="1">Calc!AI79</f>
        <v/>
      </c>
    </row>
    <row r="79" spans="1:10" ht="15">
      <c r="A79" s="73">
        <f>Calc!Y80</f>
        <v>0</v>
      </c>
      <c r="B79" s="74">
        <f>Calc!Z80</f>
        <v>0</v>
      </c>
      <c r="C79" s="74" t="str">
        <f ca="1">Calc!AA80</f>
        <v/>
      </c>
      <c r="D79" s="75" t="str">
        <f ca="1">Calc!AB80</f>
        <v/>
      </c>
      <c r="E79" s="77" t="str">
        <f ca="1">IF(Calc!AC80&lt;&gt;"",Calc!AC80,"")</f>
        <v/>
      </c>
      <c r="F79" s="79">
        <f>Calc!AE80</f>
        <v>0</v>
      </c>
      <c r="G79" s="74">
        <f>Calc!AF80</f>
        <v>0</v>
      </c>
      <c r="H79" s="74" t="str">
        <f ca="1">Calc!AG80</f>
        <v/>
      </c>
      <c r="I79" s="75" t="str">
        <f ca="1">Calc!AH80</f>
        <v/>
      </c>
      <c r="J79" s="77" t="str">
        <f ca="1">Calc!AI80</f>
        <v/>
      </c>
    </row>
    <row r="80" spans="1:10" ht="15">
      <c r="A80" s="73">
        <f>Calc!Y81</f>
        <v>0</v>
      </c>
      <c r="B80" s="74">
        <f>Calc!Z81</f>
        <v>0</v>
      </c>
      <c r="C80" s="74" t="str">
        <f ca="1">Calc!AA81</f>
        <v/>
      </c>
      <c r="D80" s="75" t="str">
        <f ca="1">Calc!AB81</f>
        <v/>
      </c>
      <c r="E80" s="77" t="str">
        <f ca="1">IF(Calc!AC81&lt;&gt;"",Calc!AC81,"")</f>
        <v/>
      </c>
      <c r="F80" s="79">
        <f>Calc!AE81</f>
        <v>0</v>
      </c>
      <c r="G80" s="74">
        <f>Calc!AF81</f>
        <v>0</v>
      </c>
      <c r="H80" s="74" t="str">
        <f ca="1">Calc!AG81</f>
        <v/>
      </c>
      <c r="I80" s="75" t="str">
        <f ca="1">Calc!AH81</f>
        <v/>
      </c>
      <c r="J80" s="77" t="str">
        <f ca="1">Calc!AI81</f>
        <v/>
      </c>
    </row>
    <row r="81" spans="1:10" ht="15">
      <c r="A81" s="73">
        <f>Calc!Y82</f>
        <v>0</v>
      </c>
      <c r="B81" s="74">
        <f>Calc!Z82</f>
        <v>0</v>
      </c>
      <c r="C81" s="74" t="str">
        <f ca="1">Calc!AA82</f>
        <v/>
      </c>
      <c r="D81" s="75" t="str">
        <f ca="1">Calc!AB82</f>
        <v/>
      </c>
      <c r="E81" s="77" t="str">
        <f ca="1">IF(Calc!AC82&lt;&gt;"",Calc!AC82,"")</f>
        <v/>
      </c>
      <c r="F81" s="79">
        <f>Calc!AE82</f>
        <v>0</v>
      </c>
      <c r="G81" s="74">
        <f>Calc!AF82</f>
        <v>0</v>
      </c>
      <c r="H81" s="74" t="str">
        <f ca="1">Calc!AG82</f>
        <v/>
      </c>
      <c r="I81" s="75" t="str">
        <f ca="1">Calc!AH82</f>
        <v/>
      </c>
      <c r="J81" s="77" t="str">
        <f ca="1">Calc!AI82</f>
        <v/>
      </c>
    </row>
    <row r="82" spans="1:10" ht="15">
      <c r="A82" s="73">
        <f>Calc!Y83</f>
        <v>0</v>
      </c>
      <c r="B82" s="74">
        <f>Calc!Z83</f>
        <v>0</v>
      </c>
      <c r="C82" s="74" t="str">
        <f ca="1">Calc!AA83</f>
        <v/>
      </c>
      <c r="D82" s="75" t="str">
        <f ca="1">Calc!AB83</f>
        <v/>
      </c>
      <c r="E82" s="77" t="str">
        <f ca="1">IF(Calc!AC83&lt;&gt;"",Calc!AC83,"")</f>
        <v/>
      </c>
      <c r="F82" s="79">
        <f>Calc!AE83</f>
        <v>0</v>
      </c>
      <c r="G82" s="74">
        <f>Calc!AF83</f>
        <v>0</v>
      </c>
      <c r="H82" s="74" t="str">
        <f ca="1">Calc!AG83</f>
        <v/>
      </c>
      <c r="I82" s="75" t="str">
        <f ca="1">Calc!AH83</f>
        <v/>
      </c>
      <c r="J82" s="77" t="str">
        <f ca="1">Calc!AI83</f>
        <v/>
      </c>
    </row>
    <row r="83" spans="1:10" ht="15">
      <c r="A83" s="73">
        <f>Calc!Y84</f>
        <v>0</v>
      </c>
      <c r="B83" s="74">
        <f>Calc!Z84</f>
        <v>0</v>
      </c>
      <c r="C83" s="74" t="str">
        <f ca="1">Calc!AA84</f>
        <v/>
      </c>
      <c r="D83" s="75" t="str">
        <f ca="1">Calc!AB84</f>
        <v/>
      </c>
      <c r="E83" s="77" t="str">
        <f ca="1">IF(Calc!AC84&lt;&gt;"",Calc!AC84,"")</f>
        <v/>
      </c>
      <c r="F83" s="79">
        <f>Calc!AE84</f>
        <v>0</v>
      </c>
      <c r="G83" s="74">
        <f>Calc!AF84</f>
        <v>0</v>
      </c>
      <c r="H83" s="74" t="str">
        <f ca="1">Calc!AG84</f>
        <v/>
      </c>
      <c r="I83" s="75" t="str">
        <f ca="1">Calc!AH84</f>
        <v/>
      </c>
      <c r="J83" s="77" t="str">
        <f ca="1">Calc!AI84</f>
        <v/>
      </c>
    </row>
    <row r="84" spans="1:10" ht="15">
      <c r="A84" s="73">
        <f>Calc!Y85</f>
        <v>0</v>
      </c>
      <c r="B84" s="74">
        <f>Calc!Z85</f>
        <v>0</v>
      </c>
      <c r="C84" s="74" t="str">
        <f ca="1">Calc!AA85</f>
        <v/>
      </c>
      <c r="D84" s="75" t="str">
        <f ca="1">Calc!AB85</f>
        <v/>
      </c>
      <c r="E84" s="77" t="str">
        <f ca="1">IF(Calc!AC85&lt;&gt;"",Calc!AC85,"")</f>
        <v/>
      </c>
      <c r="F84" s="79">
        <f>Calc!AE85</f>
        <v>0</v>
      </c>
      <c r="G84" s="74">
        <f>Calc!AF85</f>
        <v>0</v>
      </c>
      <c r="H84" s="74" t="str">
        <f ca="1">Calc!AG85</f>
        <v/>
      </c>
      <c r="I84" s="75" t="str">
        <f ca="1">Calc!AH85</f>
        <v/>
      </c>
      <c r="J84" s="77" t="str">
        <f ca="1">Calc!AI85</f>
        <v/>
      </c>
    </row>
    <row r="85" spans="1:10" ht="15">
      <c r="A85" s="73">
        <f>Calc!Y86</f>
        <v>0</v>
      </c>
      <c r="B85" s="74">
        <f>Calc!Z86</f>
        <v>0</v>
      </c>
      <c r="C85" s="74" t="str">
        <f ca="1">Calc!AA86</f>
        <v/>
      </c>
      <c r="D85" s="75" t="str">
        <f ca="1">Calc!AB86</f>
        <v/>
      </c>
      <c r="E85" s="77" t="str">
        <f ca="1">IF(Calc!AC86&lt;&gt;"",Calc!AC86,"")</f>
        <v/>
      </c>
      <c r="F85" s="79">
        <f>Calc!AE86</f>
        <v>0</v>
      </c>
      <c r="G85" s="74">
        <f>Calc!AF86</f>
        <v>0</v>
      </c>
      <c r="H85" s="74" t="str">
        <f ca="1">Calc!AG86</f>
        <v/>
      </c>
      <c r="I85" s="75" t="str">
        <f ca="1">Calc!AH86</f>
        <v/>
      </c>
      <c r="J85" s="77" t="str">
        <f ca="1">Calc!AI86</f>
        <v/>
      </c>
    </row>
    <row r="86" spans="1:10" ht="15">
      <c r="A86" s="73">
        <f>Calc!Y87</f>
        <v>0</v>
      </c>
      <c r="B86" s="74">
        <f>Calc!Z87</f>
        <v>0</v>
      </c>
      <c r="C86" s="74" t="str">
        <f ca="1">Calc!AA87</f>
        <v/>
      </c>
      <c r="D86" s="75" t="str">
        <f ca="1">Calc!AB87</f>
        <v/>
      </c>
      <c r="E86" s="77" t="str">
        <f ca="1">IF(Calc!AC87&lt;&gt;"",Calc!AC87,"")</f>
        <v/>
      </c>
      <c r="F86" s="79">
        <f>Calc!AE87</f>
        <v>0</v>
      </c>
      <c r="G86" s="74">
        <f>Calc!AF87</f>
        <v>0</v>
      </c>
      <c r="H86" s="74" t="str">
        <f ca="1">Calc!AG87</f>
        <v/>
      </c>
      <c r="I86" s="75" t="str">
        <f ca="1">Calc!AH87</f>
        <v/>
      </c>
      <c r="J86" s="77" t="str">
        <f ca="1">Calc!AI87</f>
        <v/>
      </c>
    </row>
    <row r="87" spans="1:10" ht="15">
      <c r="A87" s="73">
        <f>Calc!Y88</f>
        <v>0</v>
      </c>
      <c r="B87" s="74">
        <f>Calc!Z88</f>
        <v>0</v>
      </c>
      <c r="C87" s="74" t="str">
        <f ca="1">Calc!AA88</f>
        <v/>
      </c>
      <c r="D87" s="75" t="str">
        <f ca="1">Calc!AB88</f>
        <v/>
      </c>
      <c r="E87" s="77" t="str">
        <f ca="1">IF(Calc!AC88&lt;&gt;"",Calc!AC88,"")</f>
        <v/>
      </c>
      <c r="F87" s="79">
        <f>Calc!AE88</f>
        <v>0</v>
      </c>
      <c r="G87" s="74">
        <f>Calc!AF88</f>
        <v>0</v>
      </c>
      <c r="H87" s="74" t="str">
        <f ca="1">Calc!AG88</f>
        <v/>
      </c>
      <c r="I87" s="75" t="str">
        <f ca="1">Calc!AH88</f>
        <v/>
      </c>
      <c r="J87" s="77" t="str">
        <f ca="1">Calc!AI88</f>
        <v/>
      </c>
    </row>
    <row r="88" spans="1:10" ht="15">
      <c r="A88" s="73">
        <f>Calc!Y89</f>
        <v>0</v>
      </c>
      <c r="B88" s="74">
        <f>Calc!Z89</f>
        <v>0</v>
      </c>
      <c r="C88" s="74" t="str">
        <f ca="1">Calc!AA89</f>
        <v/>
      </c>
      <c r="D88" s="75" t="str">
        <f ca="1">Calc!AB89</f>
        <v/>
      </c>
      <c r="E88" s="77" t="str">
        <f ca="1">IF(Calc!AC89&lt;&gt;"",Calc!AC89,"")</f>
        <v/>
      </c>
      <c r="F88" s="79">
        <f>Calc!AE89</f>
        <v>0</v>
      </c>
      <c r="G88" s="74">
        <f>Calc!AF89</f>
        <v>0</v>
      </c>
      <c r="H88" s="74" t="str">
        <f ca="1">Calc!AG89</f>
        <v/>
      </c>
      <c r="I88" s="75" t="str">
        <f ca="1">Calc!AH89</f>
        <v/>
      </c>
      <c r="J88" s="77" t="str">
        <f ca="1">Calc!AI89</f>
        <v/>
      </c>
    </row>
    <row r="89" spans="1:10" ht="15">
      <c r="A89" s="73">
        <f>Calc!Y90</f>
        <v>0</v>
      </c>
      <c r="B89" s="74">
        <f>Calc!Z90</f>
        <v>0</v>
      </c>
      <c r="C89" s="74" t="str">
        <f ca="1">Calc!AA90</f>
        <v/>
      </c>
      <c r="D89" s="75" t="str">
        <f ca="1">Calc!AB90</f>
        <v/>
      </c>
      <c r="E89" s="77" t="str">
        <f ca="1">IF(Calc!AC90&lt;&gt;"",Calc!AC90,"")</f>
        <v/>
      </c>
      <c r="F89" s="79">
        <f>Calc!AE90</f>
        <v>0</v>
      </c>
      <c r="G89" s="74">
        <f>Calc!AF90</f>
        <v>0</v>
      </c>
      <c r="H89" s="74" t="str">
        <f ca="1">Calc!AG90</f>
        <v/>
      </c>
      <c r="I89" s="75" t="str">
        <f ca="1">Calc!AH90</f>
        <v/>
      </c>
      <c r="J89" s="77" t="str">
        <f ca="1">Calc!AI90</f>
        <v/>
      </c>
    </row>
    <row r="90" spans="1:10" ht="15">
      <c r="A90" s="73">
        <f>Calc!Y91</f>
        <v>0</v>
      </c>
      <c r="B90" s="74">
        <f>Calc!Z91</f>
        <v>0</v>
      </c>
      <c r="C90" s="74" t="str">
        <f ca="1">Calc!AA91</f>
        <v/>
      </c>
      <c r="D90" s="75" t="str">
        <f ca="1">Calc!AB91</f>
        <v/>
      </c>
      <c r="E90" s="77" t="str">
        <f ca="1">IF(Calc!AC91&lt;&gt;"",Calc!AC91,"")</f>
        <v/>
      </c>
      <c r="F90" s="79">
        <f>Calc!AE91</f>
        <v>0</v>
      </c>
      <c r="G90" s="74">
        <f>Calc!AF91</f>
        <v>0</v>
      </c>
      <c r="H90" s="74" t="str">
        <f ca="1">Calc!AG91</f>
        <v/>
      </c>
      <c r="I90" s="75" t="str">
        <f ca="1">Calc!AH91</f>
        <v/>
      </c>
      <c r="J90" s="77" t="str">
        <f ca="1">Calc!AI91</f>
        <v/>
      </c>
    </row>
    <row r="91" spans="1:10" ht="15">
      <c r="A91" s="73">
        <f>Calc!Y92</f>
        <v>0</v>
      </c>
      <c r="B91" s="74">
        <f>Calc!Z92</f>
        <v>0</v>
      </c>
      <c r="C91" s="74" t="str">
        <f ca="1">Calc!AA92</f>
        <v/>
      </c>
      <c r="D91" s="75" t="str">
        <f ca="1">Calc!AB92</f>
        <v/>
      </c>
      <c r="E91" s="77" t="str">
        <f ca="1">IF(Calc!AC92&lt;&gt;"",Calc!AC92,"")</f>
        <v/>
      </c>
      <c r="F91" s="79">
        <f>Calc!AE92</f>
        <v>0</v>
      </c>
      <c r="G91" s="74">
        <f>Calc!AF92</f>
        <v>0</v>
      </c>
      <c r="H91" s="74" t="str">
        <f ca="1">Calc!AG92</f>
        <v/>
      </c>
      <c r="I91" s="75" t="str">
        <f ca="1">Calc!AH92</f>
        <v/>
      </c>
      <c r="J91" s="77" t="str">
        <f ca="1">Calc!AI92</f>
        <v/>
      </c>
    </row>
    <row r="92" spans="1:10" ht="15">
      <c r="A92" s="73">
        <f>Calc!Y93</f>
        <v>0</v>
      </c>
      <c r="B92" s="74">
        <f>Calc!Z93</f>
        <v>0</v>
      </c>
      <c r="C92" s="74" t="str">
        <f ca="1">Calc!AA93</f>
        <v/>
      </c>
      <c r="D92" s="75" t="str">
        <f ca="1">Calc!AB93</f>
        <v/>
      </c>
      <c r="E92" s="77" t="str">
        <f ca="1">IF(Calc!AC93&lt;&gt;"",Calc!AC93,"")</f>
        <v/>
      </c>
      <c r="F92" s="79">
        <f>Calc!AE93</f>
        <v>0</v>
      </c>
      <c r="G92" s="74">
        <f>Calc!AF93</f>
        <v>0</v>
      </c>
      <c r="H92" s="74" t="str">
        <f ca="1">Calc!AG93</f>
        <v/>
      </c>
      <c r="I92" s="75" t="str">
        <f ca="1">Calc!AH93</f>
        <v/>
      </c>
      <c r="J92" s="77" t="str">
        <f ca="1">Calc!AI93</f>
        <v/>
      </c>
    </row>
    <row r="93" spans="1:10" ht="15">
      <c r="A93" s="73">
        <f>Calc!Y94</f>
        <v>0</v>
      </c>
      <c r="B93" s="74">
        <f>Calc!Z94</f>
        <v>0</v>
      </c>
      <c r="C93" s="74" t="str">
        <f ca="1">Calc!AA94</f>
        <v/>
      </c>
      <c r="D93" s="75" t="str">
        <f ca="1">Calc!AB94</f>
        <v/>
      </c>
      <c r="E93" s="77" t="str">
        <f ca="1">IF(Calc!AC94&lt;&gt;"",Calc!AC94,"")</f>
        <v/>
      </c>
      <c r="F93" s="79">
        <f>Calc!AE94</f>
        <v>0</v>
      </c>
      <c r="G93" s="74">
        <f>Calc!AF94</f>
        <v>0</v>
      </c>
      <c r="H93" s="74" t="str">
        <f ca="1">Calc!AG94</f>
        <v/>
      </c>
      <c r="I93" s="75" t="str">
        <f ca="1">Calc!AH94</f>
        <v/>
      </c>
      <c r="J93" s="77" t="str">
        <f ca="1">Calc!AI94</f>
        <v/>
      </c>
    </row>
    <row r="94" spans="1:10" ht="15">
      <c r="A94" s="73">
        <f>Calc!Y95</f>
        <v>0</v>
      </c>
      <c r="B94" s="74">
        <f>Calc!Z95</f>
        <v>0</v>
      </c>
      <c r="C94" s="74" t="str">
        <f ca="1">Calc!AA95</f>
        <v/>
      </c>
      <c r="D94" s="75" t="str">
        <f ca="1">Calc!AB95</f>
        <v/>
      </c>
      <c r="E94" s="77" t="str">
        <f ca="1">IF(Calc!AC95&lt;&gt;"",Calc!AC95,"")</f>
        <v/>
      </c>
      <c r="F94" s="79">
        <f>Calc!AE95</f>
        <v>0</v>
      </c>
      <c r="G94" s="74">
        <f>Calc!AF95</f>
        <v>0</v>
      </c>
      <c r="H94" s="74" t="str">
        <f ca="1">Calc!AG95</f>
        <v/>
      </c>
      <c r="I94" s="75" t="str">
        <f ca="1">Calc!AH95</f>
        <v/>
      </c>
      <c r="J94" s="77" t="str">
        <f ca="1">Calc!AI95</f>
        <v/>
      </c>
    </row>
    <row r="95" spans="1:10" ht="15">
      <c r="A95" s="73">
        <f>Calc!Y96</f>
        <v>0</v>
      </c>
      <c r="B95" s="74">
        <f>Calc!Z96</f>
        <v>0</v>
      </c>
      <c r="C95" s="74" t="str">
        <f ca="1">Calc!AA96</f>
        <v/>
      </c>
      <c r="D95" s="75" t="str">
        <f ca="1">Calc!AB96</f>
        <v/>
      </c>
      <c r="E95" s="77" t="str">
        <f ca="1">IF(Calc!AC96&lt;&gt;"",Calc!AC96,"")</f>
        <v/>
      </c>
      <c r="F95" s="79">
        <f>Calc!AE96</f>
        <v>0</v>
      </c>
      <c r="G95" s="74">
        <f>Calc!AF96</f>
        <v>0</v>
      </c>
      <c r="H95" s="74" t="str">
        <f ca="1">Calc!AG96</f>
        <v/>
      </c>
      <c r="I95" s="75" t="str">
        <f ca="1">Calc!AH96</f>
        <v/>
      </c>
      <c r="J95" s="77" t="str">
        <f ca="1">Calc!AI96</f>
        <v/>
      </c>
    </row>
    <row r="96" spans="1:10" ht="15">
      <c r="A96" s="73">
        <f>Calc!Y97</f>
        <v>0</v>
      </c>
      <c r="B96" s="74">
        <f>Calc!Z97</f>
        <v>0</v>
      </c>
      <c r="C96" s="74" t="str">
        <f ca="1">Calc!AA97</f>
        <v/>
      </c>
      <c r="D96" s="75" t="str">
        <f ca="1">Calc!AB97</f>
        <v/>
      </c>
      <c r="E96" s="77" t="str">
        <f ca="1">IF(Calc!AC97&lt;&gt;"",Calc!AC97,"")</f>
        <v/>
      </c>
      <c r="F96" s="79">
        <f>Calc!AE97</f>
        <v>0</v>
      </c>
      <c r="G96" s="74">
        <f>Calc!AF97</f>
        <v>0</v>
      </c>
      <c r="H96" s="74" t="str">
        <f ca="1">Calc!AG97</f>
        <v/>
      </c>
      <c r="I96" s="75" t="str">
        <f ca="1">Calc!AH97</f>
        <v/>
      </c>
      <c r="J96" s="77" t="str">
        <f ca="1">Calc!AI97</f>
        <v/>
      </c>
    </row>
    <row r="97" spans="1:10" ht="15">
      <c r="A97" s="73">
        <f>Calc!Y98</f>
        <v>0</v>
      </c>
      <c r="B97" s="74">
        <f>Calc!Z98</f>
        <v>0</v>
      </c>
      <c r="C97" s="74" t="str">
        <f ca="1">Calc!AA98</f>
        <v/>
      </c>
      <c r="D97" s="75" t="str">
        <f ca="1">Calc!AB98</f>
        <v/>
      </c>
      <c r="E97" s="77" t="str">
        <f ca="1">IF(Calc!AC98&lt;&gt;"",Calc!AC98,"")</f>
        <v/>
      </c>
      <c r="F97" s="79">
        <f>Calc!AE98</f>
        <v>0</v>
      </c>
      <c r="G97" s="74">
        <f>Calc!AF98</f>
        <v>0</v>
      </c>
      <c r="H97" s="74" t="str">
        <f ca="1">Calc!AG98</f>
        <v/>
      </c>
      <c r="I97" s="75" t="str">
        <f ca="1">Calc!AH98</f>
        <v/>
      </c>
      <c r="J97" s="77" t="str">
        <f ca="1">Calc!AI98</f>
        <v/>
      </c>
    </row>
    <row r="98" spans="1:10" ht="15">
      <c r="A98" s="73">
        <f>Calc!Y99</f>
        <v>0</v>
      </c>
      <c r="B98" s="74">
        <f>Calc!Z99</f>
        <v>0</v>
      </c>
      <c r="C98" s="74" t="str">
        <f ca="1">Calc!AA99</f>
        <v/>
      </c>
      <c r="D98" s="75" t="str">
        <f ca="1">Calc!AB99</f>
        <v/>
      </c>
      <c r="E98" s="77" t="str">
        <f ca="1">IF(Calc!AC99&lt;&gt;"",Calc!AC99,"")</f>
        <v/>
      </c>
      <c r="F98" s="79">
        <f>Calc!AE99</f>
        <v>0</v>
      </c>
      <c r="G98" s="74">
        <f>Calc!AF99</f>
        <v>0</v>
      </c>
      <c r="H98" s="74" t="str">
        <f ca="1">Calc!AG99</f>
        <v/>
      </c>
      <c r="I98" s="75" t="str">
        <f ca="1">Calc!AH99</f>
        <v/>
      </c>
      <c r="J98" s="77" t="str">
        <f ca="1">Calc!AI99</f>
        <v/>
      </c>
    </row>
    <row r="99" spans="1:10" ht="15">
      <c r="A99" s="73">
        <f>Calc!Y100</f>
        <v>0</v>
      </c>
      <c r="B99" s="74">
        <f>Calc!Z100</f>
        <v>0</v>
      </c>
      <c r="C99" s="74" t="str">
        <f ca="1">Calc!AA100</f>
        <v/>
      </c>
      <c r="D99" s="75" t="str">
        <f ca="1">Calc!AB100</f>
        <v/>
      </c>
      <c r="E99" s="77" t="str">
        <f ca="1">IF(Calc!AC100&lt;&gt;"",Calc!AC100,"")</f>
        <v/>
      </c>
      <c r="F99" s="79">
        <f>Calc!AE100</f>
        <v>0</v>
      </c>
      <c r="G99" s="74">
        <f>Calc!AF100</f>
        <v>0</v>
      </c>
      <c r="H99" s="74" t="str">
        <f ca="1">Calc!AG100</f>
        <v/>
      </c>
      <c r="I99" s="75" t="str">
        <f ca="1">Calc!AH100</f>
        <v/>
      </c>
      <c r="J99" s="77" t="str">
        <f ca="1">Calc!AI100</f>
        <v/>
      </c>
    </row>
    <row r="100" spans="1:10" ht="15">
      <c r="A100" s="73">
        <f>Calc!Y101</f>
        <v>0</v>
      </c>
      <c r="B100" s="74">
        <f>Calc!Z101</f>
        <v>0</v>
      </c>
      <c r="C100" s="74" t="str">
        <f ca="1">Calc!AA101</f>
        <v/>
      </c>
      <c r="D100" s="75" t="str">
        <f ca="1">Calc!AB101</f>
        <v/>
      </c>
      <c r="E100" s="77" t="str">
        <f ca="1">IF(Calc!AC101&lt;&gt;"",Calc!AC101,"")</f>
        <v/>
      </c>
      <c r="F100" s="79">
        <f>Calc!AE101</f>
        <v>0</v>
      </c>
      <c r="G100" s="74">
        <f>Calc!AF101</f>
        <v>0</v>
      </c>
      <c r="H100" s="74" t="str">
        <f ca="1">Calc!AG101</f>
        <v/>
      </c>
      <c r="I100" s="75" t="str">
        <f ca="1">Calc!AH101</f>
        <v/>
      </c>
      <c r="J100" s="77" t="str">
        <f ca="1">Calc!AI101</f>
        <v/>
      </c>
    </row>
    <row r="101" spans="1:10" ht="15">
      <c r="A101" s="73">
        <f>Calc!Y102</f>
        <v>0</v>
      </c>
      <c r="B101" s="74">
        <f>Calc!Z102</f>
        <v>0</v>
      </c>
      <c r="C101" s="74" t="str">
        <f ca="1">Calc!AA102</f>
        <v/>
      </c>
      <c r="D101" s="75" t="str">
        <f ca="1">Calc!AB102</f>
        <v/>
      </c>
      <c r="E101" s="77" t="str">
        <f ca="1">IF(Calc!AC102&lt;&gt;"",Calc!AC102,"")</f>
        <v/>
      </c>
      <c r="F101" s="79">
        <f>Calc!AE102</f>
        <v>0</v>
      </c>
      <c r="G101" s="74">
        <f>Calc!AF102</f>
        <v>0</v>
      </c>
      <c r="H101" s="74" t="str">
        <f ca="1">Calc!AG102</f>
        <v/>
      </c>
      <c r="I101" s="75" t="str">
        <f ca="1">Calc!AH102</f>
        <v/>
      </c>
      <c r="J101" s="77" t="str">
        <f ca="1">Calc!AI102</f>
        <v/>
      </c>
    </row>
    <row r="102" spans="1:10" ht="15">
      <c r="A102" s="73">
        <f>Calc!Y103</f>
        <v>0</v>
      </c>
      <c r="B102" s="74">
        <f>Calc!Z103</f>
        <v>0</v>
      </c>
      <c r="C102" s="74" t="str">
        <f ca="1">Calc!AA103</f>
        <v/>
      </c>
      <c r="D102" s="75" t="str">
        <f ca="1">Calc!AB103</f>
        <v/>
      </c>
      <c r="E102" s="77" t="str">
        <f ca="1">IF(Calc!AC103&lt;&gt;"",Calc!AC103,"")</f>
        <v/>
      </c>
      <c r="F102" s="79">
        <f>Calc!AE103</f>
        <v>0</v>
      </c>
      <c r="G102" s="74">
        <f>Calc!AF103</f>
        <v>0</v>
      </c>
      <c r="H102" s="74" t="str">
        <f ca="1">Calc!AG103</f>
        <v/>
      </c>
      <c r="I102" s="75" t="str">
        <f ca="1">Calc!AH103</f>
        <v/>
      </c>
      <c r="J102" s="77" t="str">
        <f ca="1">Calc!AI103</f>
        <v/>
      </c>
    </row>
    <row r="103" spans="1:10" ht="15">
      <c r="A103" s="73">
        <f>Calc!Y104</f>
        <v>0</v>
      </c>
      <c r="B103" s="74">
        <f>Calc!Z104</f>
        <v>0</v>
      </c>
      <c r="C103" s="74" t="str">
        <f ca="1">Calc!AA104</f>
        <v/>
      </c>
      <c r="D103" s="75" t="str">
        <f ca="1">Calc!AB104</f>
        <v/>
      </c>
      <c r="E103" s="77" t="str">
        <f ca="1">IF(Calc!AC104&lt;&gt;"",Calc!AC104,"")</f>
        <v/>
      </c>
      <c r="F103" s="79">
        <f>Calc!AE104</f>
        <v>0</v>
      </c>
      <c r="G103" s="74">
        <f>Calc!AF104</f>
        <v>0</v>
      </c>
      <c r="H103" s="74" t="str">
        <f ca="1">Calc!AG104</f>
        <v/>
      </c>
      <c r="I103" s="75" t="str">
        <f ca="1">Calc!AH104</f>
        <v/>
      </c>
      <c r="J103" s="77" t="str">
        <f ca="1">Calc!AI104</f>
        <v/>
      </c>
    </row>
    <row r="104" spans="1:10" ht="15">
      <c r="A104" s="73">
        <f>Calc!Y105</f>
        <v>0</v>
      </c>
      <c r="B104" s="74">
        <f>Calc!Z105</f>
        <v>0</v>
      </c>
      <c r="C104" s="74" t="str">
        <f ca="1">Calc!AA105</f>
        <v/>
      </c>
      <c r="D104" s="75" t="str">
        <f ca="1">Calc!AB105</f>
        <v/>
      </c>
      <c r="E104" s="77" t="str">
        <f ca="1">IF(Calc!AC105&lt;&gt;"",Calc!AC105,"")</f>
        <v/>
      </c>
      <c r="F104" s="79">
        <f>Calc!AE105</f>
        <v>0</v>
      </c>
      <c r="G104" s="74">
        <f>Calc!AF105</f>
        <v>0</v>
      </c>
      <c r="H104" s="74" t="str">
        <f ca="1">Calc!AG105</f>
        <v/>
      </c>
      <c r="I104" s="75" t="str">
        <f ca="1">Calc!AH105</f>
        <v/>
      </c>
      <c r="J104" s="77" t="str">
        <f ca="1">Calc!AI105</f>
        <v/>
      </c>
    </row>
    <row r="105" spans="1:10" ht="15">
      <c r="A105" s="73">
        <f>Calc!Y106</f>
        <v>0</v>
      </c>
      <c r="B105" s="74">
        <f>Calc!Z106</f>
        <v>0</v>
      </c>
      <c r="C105" s="74" t="str">
        <f ca="1">Calc!AA106</f>
        <v/>
      </c>
      <c r="D105" s="75" t="str">
        <f ca="1">Calc!AB106</f>
        <v/>
      </c>
      <c r="E105" s="77" t="str">
        <f ca="1">IF(Calc!AC106&lt;&gt;"",Calc!AC106,"")</f>
        <v/>
      </c>
      <c r="F105" s="79">
        <f>Calc!AE106</f>
        <v>0</v>
      </c>
      <c r="G105" s="74">
        <f>Calc!AF106</f>
        <v>0</v>
      </c>
      <c r="H105" s="74" t="str">
        <f ca="1">Calc!AG106</f>
        <v/>
      </c>
      <c r="I105" s="75" t="str">
        <f ca="1">Calc!AH106</f>
        <v/>
      </c>
      <c r="J105" s="77" t="str">
        <f ca="1">Calc!AI106</f>
        <v/>
      </c>
    </row>
    <row r="106" spans="1:10" ht="15">
      <c r="A106" s="73">
        <f>Calc!Y107</f>
        <v>0</v>
      </c>
      <c r="B106" s="74">
        <f>Calc!Z107</f>
        <v>0</v>
      </c>
      <c r="C106" s="74" t="str">
        <f ca="1">Calc!AA107</f>
        <v/>
      </c>
      <c r="D106" s="75" t="str">
        <f ca="1">Calc!AB107</f>
        <v/>
      </c>
      <c r="E106" s="77" t="str">
        <f ca="1">IF(Calc!AC107&lt;&gt;"",Calc!AC107,"")</f>
        <v/>
      </c>
      <c r="F106" s="79">
        <f>Calc!AE107</f>
        <v>0</v>
      </c>
      <c r="G106" s="74">
        <f>Calc!AF107</f>
        <v>0</v>
      </c>
      <c r="H106" s="74" t="str">
        <f ca="1">Calc!AG107</f>
        <v/>
      </c>
      <c r="I106" s="75" t="str">
        <f ca="1">Calc!AH107</f>
        <v/>
      </c>
      <c r="J106" s="77" t="str">
        <f ca="1">Calc!AI107</f>
        <v/>
      </c>
    </row>
    <row r="107" spans="1:10" ht="15">
      <c r="A107" s="73">
        <f>Calc!Y108</f>
        <v>0</v>
      </c>
      <c r="B107" s="74">
        <f>Calc!Z108</f>
        <v>0</v>
      </c>
      <c r="C107" s="74" t="str">
        <f ca="1">Calc!AA108</f>
        <v/>
      </c>
      <c r="D107" s="75" t="str">
        <f ca="1">Calc!AB108</f>
        <v/>
      </c>
      <c r="E107" s="77" t="str">
        <f ca="1">IF(Calc!AC108&lt;&gt;"",Calc!AC108,"")</f>
        <v/>
      </c>
      <c r="F107" s="79">
        <f>Calc!AE108</f>
        <v>0</v>
      </c>
      <c r="G107" s="74">
        <f>Calc!AF108</f>
        <v>0</v>
      </c>
      <c r="H107" s="74" t="str">
        <f ca="1">Calc!AG108</f>
        <v/>
      </c>
      <c r="I107" s="75" t="str">
        <f ca="1">Calc!AH108</f>
        <v/>
      </c>
      <c r="J107" s="77" t="str">
        <f ca="1">Calc!AI108</f>
        <v/>
      </c>
    </row>
    <row r="108" spans="1:10" ht="15">
      <c r="A108" s="73">
        <f>Calc!Y109</f>
        <v>0</v>
      </c>
      <c r="B108" s="74">
        <f>Calc!Z109</f>
        <v>0</v>
      </c>
      <c r="C108" s="74" t="str">
        <f ca="1">Calc!AA109</f>
        <v/>
      </c>
      <c r="D108" s="75" t="str">
        <f ca="1">Calc!AB109</f>
        <v/>
      </c>
      <c r="E108" s="77" t="str">
        <f ca="1">IF(Calc!AC109&lt;&gt;"",Calc!AC109,"")</f>
        <v/>
      </c>
      <c r="F108" s="79">
        <f>Calc!AE109</f>
        <v>0</v>
      </c>
      <c r="G108" s="74">
        <f>Calc!AF109</f>
        <v>0</v>
      </c>
      <c r="H108" s="74" t="str">
        <f ca="1">Calc!AG109</f>
        <v/>
      </c>
      <c r="I108" s="75" t="str">
        <f ca="1">Calc!AH109</f>
        <v/>
      </c>
      <c r="J108" s="77" t="str">
        <f ca="1">Calc!AI109</f>
        <v/>
      </c>
    </row>
    <row r="109" spans="1:10" ht="15">
      <c r="A109" s="73">
        <f>Calc!Y110</f>
        <v>0</v>
      </c>
      <c r="B109" s="74">
        <f>Calc!Z110</f>
        <v>0</v>
      </c>
      <c r="C109" s="74" t="str">
        <f ca="1">Calc!AA110</f>
        <v/>
      </c>
      <c r="D109" s="75" t="str">
        <f ca="1">Calc!AB110</f>
        <v/>
      </c>
      <c r="E109" s="77" t="str">
        <f ca="1">IF(Calc!AC110&lt;&gt;"",Calc!AC110,"")</f>
        <v/>
      </c>
      <c r="F109" s="79">
        <f>Calc!AE110</f>
        <v>0</v>
      </c>
      <c r="G109" s="74">
        <f>Calc!AF110</f>
        <v>0</v>
      </c>
      <c r="H109" s="74" t="str">
        <f ca="1">Calc!AG110</f>
        <v/>
      </c>
      <c r="I109" s="75" t="str">
        <f ca="1">Calc!AH110</f>
        <v/>
      </c>
      <c r="J109" s="77" t="str">
        <f ca="1">Calc!AI110</f>
        <v/>
      </c>
    </row>
    <row r="110" spans="1:10" ht="15">
      <c r="A110" s="73">
        <f>Calc!Y111</f>
        <v>0</v>
      </c>
      <c r="B110" s="74">
        <f>Calc!Z111</f>
        <v>0</v>
      </c>
      <c r="C110" s="74" t="str">
        <f ca="1">Calc!AA111</f>
        <v/>
      </c>
      <c r="D110" s="75" t="str">
        <f ca="1">Calc!AB111</f>
        <v/>
      </c>
      <c r="E110" s="77" t="str">
        <f ca="1">IF(Calc!AC111&lt;&gt;"",Calc!AC111,"")</f>
        <v/>
      </c>
      <c r="F110" s="79">
        <f>Calc!AE111</f>
        <v>0</v>
      </c>
      <c r="G110" s="74">
        <f>Calc!AF111</f>
        <v>0</v>
      </c>
      <c r="H110" s="74" t="str">
        <f ca="1">Calc!AG111</f>
        <v/>
      </c>
      <c r="I110" s="75" t="str">
        <f ca="1">Calc!AH111</f>
        <v/>
      </c>
      <c r="J110" s="77" t="str">
        <f ca="1">Calc!AI111</f>
        <v/>
      </c>
    </row>
    <row r="111" spans="1:10" ht="15">
      <c r="A111" s="73">
        <f>Calc!Y112</f>
        <v>0</v>
      </c>
      <c r="B111" s="74">
        <f>Calc!Z112</f>
        <v>0</v>
      </c>
      <c r="C111" s="74" t="str">
        <f ca="1">Calc!AA112</f>
        <v/>
      </c>
      <c r="D111" s="75" t="str">
        <f ca="1">Calc!AB112</f>
        <v/>
      </c>
      <c r="E111" s="77" t="str">
        <f ca="1">IF(Calc!AC112&lt;&gt;"",Calc!AC112,"")</f>
        <v/>
      </c>
      <c r="F111" s="79">
        <f>Calc!AE112</f>
        <v>0</v>
      </c>
      <c r="G111" s="74">
        <f>Calc!AF112</f>
        <v>0</v>
      </c>
      <c r="H111" s="74" t="str">
        <f ca="1">Calc!AG112</f>
        <v/>
      </c>
      <c r="I111" s="75" t="str">
        <f ca="1">Calc!AH112</f>
        <v/>
      </c>
      <c r="J111" s="77" t="str">
        <f ca="1">Calc!AI112</f>
        <v/>
      </c>
    </row>
    <row r="112" spans="1:10" ht="15">
      <c r="A112" s="73">
        <f>Calc!Y113</f>
        <v>0</v>
      </c>
      <c r="B112" s="74">
        <f>Calc!Z113</f>
        <v>0</v>
      </c>
      <c r="C112" s="74" t="str">
        <f ca="1">Calc!AA113</f>
        <v/>
      </c>
      <c r="D112" s="75" t="str">
        <f ca="1">Calc!AB113</f>
        <v/>
      </c>
      <c r="E112" s="77" t="str">
        <f ca="1">IF(Calc!AC113&lt;&gt;"",Calc!AC113,"")</f>
        <v/>
      </c>
      <c r="F112" s="79">
        <f>Calc!AE113</f>
        <v>0</v>
      </c>
      <c r="G112" s="74">
        <f>Calc!AF113</f>
        <v>0</v>
      </c>
      <c r="H112" s="74" t="str">
        <f ca="1">Calc!AG113</f>
        <v/>
      </c>
      <c r="I112" s="75" t="str">
        <f ca="1">Calc!AH113</f>
        <v/>
      </c>
      <c r="J112" s="77" t="str">
        <f ca="1">Calc!AI113</f>
        <v/>
      </c>
    </row>
    <row r="113" spans="1:10" ht="15">
      <c r="A113" s="73">
        <f>Calc!Y114</f>
        <v>0</v>
      </c>
      <c r="B113" s="74">
        <f>Calc!Z114</f>
        <v>0</v>
      </c>
      <c r="C113" s="74" t="str">
        <f ca="1">Calc!AA114</f>
        <v/>
      </c>
      <c r="D113" s="75" t="str">
        <f ca="1">Calc!AB114</f>
        <v/>
      </c>
      <c r="E113" s="77" t="str">
        <f ca="1">IF(Calc!AC114&lt;&gt;"",Calc!AC114,"")</f>
        <v/>
      </c>
      <c r="F113" s="79">
        <f>Calc!AE114</f>
        <v>0</v>
      </c>
      <c r="G113" s="74">
        <f>Calc!AF114</f>
        <v>0</v>
      </c>
      <c r="H113" s="74" t="str">
        <f ca="1">Calc!AG114</f>
        <v/>
      </c>
      <c r="I113" s="75" t="str">
        <f ca="1">Calc!AH114</f>
        <v/>
      </c>
      <c r="J113" s="77" t="str">
        <f ca="1">Calc!AI114</f>
        <v/>
      </c>
    </row>
    <row r="114" spans="1:10" ht="15">
      <c r="A114" s="73">
        <f>Calc!Y115</f>
        <v>0</v>
      </c>
      <c r="B114" s="74">
        <f>Calc!Z115</f>
        <v>0</v>
      </c>
      <c r="C114" s="74" t="str">
        <f ca="1">Calc!AA115</f>
        <v/>
      </c>
      <c r="D114" s="75" t="str">
        <f ca="1">Calc!AB115</f>
        <v/>
      </c>
      <c r="E114" s="77" t="str">
        <f ca="1">IF(Calc!AC115&lt;&gt;"",Calc!AC115,"")</f>
        <v/>
      </c>
      <c r="F114" s="79">
        <f>Calc!AE115</f>
        <v>0</v>
      </c>
      <c r="G114" s="74">
        <f>Calc!AF115</f>
        <v>0</v>
      </c>
      <c r="H114" s="74" t="str">
        <f ca="1">Calc!AG115</f>
        <v/>
      </c>
      <c r="I114" s="75" t="str">
        <f ca="1">Calc!AH115</f>
        <v/>
      </c>
      <c r="J114" s="77" t="str">
        <f ca="1">Calc!AI115</f>
        <v/>
      </c>
    </row>
    <row r="115" spans="1:10" ht="15">
      <c r="A115" s="73">
        <f>Calc!Y116</f>
        <v>0</v>
      </c>
      <c r="B115" s="74">
        <f>Calc!Z116</f>
        <v>0</v>
      </c>
      <c r="C115" s="74" t="str">
        <f ca="1">Calc!AA116</f>
        <v/>
      </c>
      <c r="D115" s="75" t="str">
        <f ca="1">Calc!AB116</f>
        <v/>
      </c>
      <c r="E115" s="77" t="str">
        <f ca="1">IF(Calc!AC116&lt;&gt;"",Calc!AC116,"")</f>
        <v/>
      </c>
      <c r="F115" s="79">
        <f>Calc!AE116</f>
        <v>0</v>
      </c>
      <c r="G115" s="74">
        <f>Calc!AF116</f>
        <v>0</v>
      </c>
      <c r="H115" s="74" t="str">
        <f ca="1">Calc!AG116</f>
        <v/>
      </c>
      <c r="I115" s="75" t="str">
        <f ca="1">Calc!AH116</f>
        <v/>
      </c>
      <c r="J115" s="77" t="str">
        <f ca="1">Calc!AI116</f>
        <v/>
      </c>
    </row>
    <row r="116" spans="1:10" ht="15">
      <c r="A116" s="73">
        <f>Calc!Y117</f>
        <v>0</v>
      </c>
      <c r="B116" s="74">
        <f>Calc!Z117</f>
        <v>0</v>
      </c>
      <c r="C116" s="74" t="str">
        <f ca="1">Calc!AA117</f>
        <v/>
      </c>
      <c r="D116" s="75" t="str">
        <f ca="1">Calc!AB117</f>
        <v/>
      </c>
      <c r="E116" s="77" t="str">
        <f ca="1">IF(Calc!AC117&lt;&gt;"",Calc!AC117,"")</f>
        <v/>
      </c>
      <c r="F116" s="79">
        <f>Calc!AE117</f>
        <v>0</v>
      </c>
      <c r="G116" s="74">
        <f>Calc!AF117</f>
        <v>0</v>
      </c>
      <c r="H116" s="74" t="str">
        <f ca="1">Calc!AG117</f>
        <v/>
      </c>
      <c r="I116" s="75" t="str">
        <f ca="1">Calc!AH117</f>
        <v/>
      </c>
      <c r="J116" s="77" t="str">
        <f ca="1">Calc!AI117</f>
        <v/>
      </c>
    </row>
    <row r="117" spans="1:10" ht="15">
      <c r="A117" s="73">
        <f>Calc!Y118</f>
        <v>0</v>
      </c>
      <c r="B117" s="74">
        <f>Calc!Z118</f>
        <v>0</v>
      </c>
      <c r="C117" s="74" t="str">
        <f ca="1">Calc!AA118</f>
        <v/>
      </c>
      <c r="D117" s="75" t="str">
        <f ca="1">Calc!AB118</f>
        <v/>
      </c>
      <c r="E117" s="77" t="str">
        <f ca="1">IF(Calc!AC118&lt;&gt;"",Calc!AC118,"")</f>
        <v/>
      </c>
      <c r="F117" s="79">
        <f>Calc!AE118</f>
        <v>0</v>
      </c>
      <c r="G117" s="74">
        <f>Calc!AF118</f>
        <v>0</v>
      </c>
      <c r="H117" s="74" t="str">
        <f ca="1">Calc!AG118</f>
        <v/>
      </c>
      <c r="I117" s="75" t="str">
        <f ca="1">Calc!AH118</f>
        <v/>
      </c>
      <c r="J117" s="77" t="str">
        <f ca="1">Calc!AI118</f>
        <v/>
      </c>
    </row>
    <row r="118" spans="1:10" ht="15">
      <c r="A118" s="73">
        <f>Calc!Y119</f>
        <v>0</v>
      </c>
      <c r="B118" s="74">
        <f>Calc!Z119</f>
        <v>0</v>
      </c>
      <c r="C118" s="74" t="str">
        <f ca="1">Calc!AA119</f>
        <v/>
      </c>
      <c r="D118" s="75" t="str">
        <f ca="1">Calc!AB119</f>
        <v/>
      </c>
      <c r="E118" s="77" t="str">
        <f ca="1">IF(Calc!AC119&lt;&gt;"",Calc!AC119,"")</f>
        <v/>
      </c>
      <c r="F118" s="79">
        <f>Calc!AE119</f>
        <v>0</v>
      </c>
      <c r="G118" s="74">
        <f>Calc!AF119</f>
        <v>0</v>
      </c>
      <c r="H118" s="74" t="str">
        <f ca="1">Calc!AG119</f>
        <v/>
      </c>
      <c r="I118" s="75" t="str">
        <f ca="1">Calc!AH119</f>
        <v/>
      </c>
      <c r="J118" s="77" t="str">
        <f ca="1">Calc!AI119</f>
        <v/>
      </c>
    </row>
    <row r="119" spans="1:10" ht="15">
      <c r="A119" s="73">
        <f>Calc!Y120</f>
        <v>0</v>
      </c>
      <c r="B119" s="74">
        <f>Calc!Z120</f>
        <v>0</v>
      </c>
      <c r="C119" s="74" t="str">
        <f ca="1">Calc!AA120</f>
        <v/>
      </c>
      <c r="D119" s="75" t="str">
        <f ca="1">Calc!AB120</f>
        <v/>
      </c>
      <c r="E119" s="77" t="str">
        <f ca="1">IF(Calc!AC120&lt;&gt;"",Calc!AC120,"")</f>
        <v/>
      </c>
      <c r="F119" s="79">
        <f>Calc!AE120</f>
        <v>0</v>
      </c>
      <c r="G119" s="74">
        <f>Calc!AF120</f>
        <v>0</v>
      </c>
      <c r="H119" s="74" t="str">
        <f ca="1">Calc!AG120</f>
        <v/>
      </c>
      <c r="I119" s="75" t="str">
        <f ca="1">Calc!AH120</f>
        <v/>
      </c>
      <c r="J119" s="77" t="str">
        <f ca="1">Calc!AI120</f>
        <v/>
      </c>
    </row>
    <row r="120" spans="1:10" ht="15">
      <c r="A120" s="73">
        <f>Calc!Y121</f>
        <v>0</v>
      </c>
      <c r="B120" s="74">
        <f>Calc!Z121</f>
        <v>0</v>
      </c>
      <c r="C120" s="74" t="str">
        <f ca="1">Calc!AA121</f>
        <v/>
      </c>
      <c r="D120" s="75" t="str">
        <f ca="1">Calc!AB121</f>
        <v/>
      </c>
      <c r="E120" s="77" t="str">
        <f ca="1">IF(Calc!AC121&lt;&gt;"",Calc!AC121,"")</f>
        <v/>
      </c>
      <c r="F120" s="79">
        <f>Calc!AE121</f>
        <v>0</v>
      </c>
      <c r="G120" s="74">
        <f>Calc!AF121</f>
        <v>0</v>
      </c>
      <c r="H120" s="74" t="str">
        <f ca="1">Calc!AG121</f>
        <v/>
      </c>
      <c r="I120" s="75" t="str">
        <f ca="1">Calc!AH121</f>
        <v/>
      </c>
      <c r="J120" s="77" t="str">
        <f ca="1">Calc!AI121</f>
        <v/>
      </c>
    </row>
    <row r="121" spans="1:10" ht="15">
      <c r="A121" s="73">
        <f>Calc!Y122</f>
        <v>0</v>
      </c>
      <c r="B121" s="74">
        <f>Calc!Z122</f>
        <v>0</v>
      </c>
      <c r="C121" s="74" t="str">
        <f ca="1">Calc!AA122</f>
        <v/>
      </c>
      <c r="D121" s="75" t="str">
        <f ca="1">Calc!AB122</f>
        <v/>
      </c>
      <c r="E121" s="77" t="str">
        <f ca="1">IF(Calc!AC122&lt;&gt;"",Calc!AC122,"")</f>
        <v/>
      </c>
      <c r="F121" s="79">
        <f>Calc!AE122</f>
        <v>0</v>
      </c>
      <c r="G121" s="74">
        <f>Calc!AF122</f>
        <v>0</v>
      </c>
      <c r="H121" s="74" t="str">
        <f ca="1">Calc!AG122</f>
        <v/>
      </c>
      <c r="I121" s="75" t="str">
        <f ca="1">Calc!AH122</f>
        <v/>
      </c>
      <c r="J121" s="77" t="str">
        <f ca="1">Calc!AI122</f>
        <v/>
      </c>
    </row>
    <row r="122" spans="1:10" ht="15">
      <c r="A122" s="73">
        <f>Calc!Y123</f>
        <v>0</v>
      </c>
      <c r="B122" s="74">
        <f>Calc!Z123</f>
        <v>0</v>
      </c>
      <c r="C122" s="74" t="str">
        <f ca="1">Calc!AA123</f>
        <v/>
      </c>
      <c r="D122" s="75" t="str">
        <f ca="1">Calc!AB123</f>
        <v/>
      </c>
      <c r="E122" s="77" t="str">
        <f ca="1">IF(Calc!AC123&lt;&gt;"",Calc!AC123,"")</f>
        <v/>
      </c>
      <c r="F122" s="79">
        <f>Calc!AE123</f>
        <v>0</v>
      </c>
      <c r="G122" s="74">
        <f>Calc!AF123</f>
        <v>0</v>
      </c>
      <c r="H122" s="74" t="str">
        <f ca="1">Calc!AG123</f>
        <v/>
      </c>
      <c r="I122" s="75" t="str">
        <f ca="1">Calc!AH123</f>
        <v/>
      </c>
      <c r="J122" s="77" t="str">
        <f ca="1">Calc!AI123</f>
        <v/>
      </c>
    </row>
    <row r="123" spans="1:10" ht="15">
      <c r="A123" s="73">
        <f>Calc!Y124</f>
        <v>0</v>
      </c>
      <c r="B123" s="74">
        <f>Calc!Z124</f>
        <v>0</v>
      </c>
      <c r="C123" s="74" t="str">
        <f ca="1">Calc!AA124</f>
        <v/>
      </c>
      <c r="D123" s="75" t="str">
        <f ca="1">Calc!AB124</f>
        <v/>
      </c>
      <c r="E123" s="77" t="str">
        <f ca="1">IF(Calc!AC124&lt;&gt;"",Calc!AC124,"")</f>
        <v/>
      </c>
      <c r="F123" s="79">
        <f>Calc!AE124</f>
        <v>0</v>
      </c>
      <c r="G123" s="74">
        <f>Calc!AF124</f>
        <v>0</v>
      </c>
      <c r="H123" s="74" t="str">
        <f ca="1">Calc!AG124</f>
        <v/>
      </c>
      <c r="I123" s="75" t="str">
        <f ca="1">Calc!AH124</f>
        <v/>
      </c>
      <c r="J123" s="77" t="str">
        <f ca="1">Calc!AI124</f>
        <v/>
      </c>
    </row>
    <row r="124" spans="1:10" ht="15">
      <c r="A124" s="73">
        <f>Calc!Y125</f>
        <v>0</v>
      </c>
      <c r="B124" s="74">
        <f>Calc!Z125</f>
        <v>0</v>
      </c>
      <c r="C124" s="74" t="str">
        <f ca="1">Calc!AA125</f>
        <v/>
      </c>
      <c r="D124" s="75" t="str">
        <f ca="1">Calc!AB125</f>
        <v/>
      </c>
      <c r="E124" s="77" t="str">
        <f ca="1">IF(Calc!AC125&lt;&gt;"",Calc!AC125,"")</f>
        <v/>
      </c>
      <c r="F124" s="79">
        <f>Calc!AE125</f>
        <v>0</v>
      </c>
      <c r="G124" s="74">
        <f>Calc!AF125</f>
        <v>0</v>
      </c>
      <c r="H124" s="74" t="str">
        <f ca="1">Calc!AG125</f>
        <v/>
      </c>
      <c r="I124" s="75" t="str">
        <f ca="1">Calc!AH125</f>
        <v/>
      </c>
      <c r="J124" s="77" t="str">
        <f ca="1">Calc!AI125</f>
        <v/>
      </c>
    </row>
    <row r="125" spans="1:10" ht="15">
      <c r="A125" s="73">
        <f>Calc!Y126</f>
        <v>0</v>
      </c>
      <c r="B125" s="74">
        <f>Calc!Z126</f>
        <v>0</v>
      </c>
      <c r="C125" s="74" t="str">
        <f ca="1">Calc!AA126</f>
        <v/>
      </c>
      <c r="D125" s="75" t="str">
        <f ca="1">Calc!AB126</f>
        <v/>
      </c>
      <c r="E125" s="77" t="str">
        <f ca="1">IF(Calc!AC126&lt;&gt;"",Calc!AC126,"")</f>
        <v/>
      </c>
      <c r="F125" s="79">
        <f>Calc!AE126</f>
        <v>0</v>
      </c>
      <c r="G125" s="74">
        <f>Calc!AF126</f>
        <v>0</v>
      </c>
      <c r="H125" s="74" t="str">
        <f ca="1">Calc!AG126</f>
        <v/>
      </c>
      <c r="I125" s="75" t="str">
        <f ca="1">Calc!AH126</f>
        <v/>
      </c>
      <c r="J125" s="77" t="str">
        <f ca="1">Calc!AI126</f>
        <v/>
      </c>
    </row>
    <row r="126" spans="1:10" ht="15">
      <c r="A126" s="73">
        <f>Calc!Y127</f>
        <v>0</v>
      </c>
      <c r="B126" s="74">
        <f>Calc!Z127</f>
        <v>0</v>
      </c>
      <c r="C126" s="74" t="str">
        <f ca="1">Calc!AA127</f>
        <v/>
      </c>
      <c r="D126" s="75" t="str">
        <f ca="1">Calc!AB127</f>
        <v/>
      </c>
      <c r="E126" s="77" t="str">
        <f ca="1">IF(Calc!AC127&lt;&gt;"",Calc!AC127,"")</f>
        <v/>
      </c>
      <c r="F126" s="79">
        <f>Calc!AE127</f>
        <v>0</v>
      </c>
      <c r="G126" s="74">
        <f>Calc!AF127</f>
        <v>0</v>
      </c>
      <c r="H126" s="74" t="str">
        <f ca="1">Calc!AG127</f>
        <v/>
      </c>
      <c r="I126" s="75" t="str">
        <f ca="1">Calc!AH127</f>
        <v/>
      </c>
      <c r="J126" s="77" t="str">
        <f ca="1">Calc!AI127</f>
        <v/>
      </c>
    </row>
    <row r="127" spans="1:10" ht="15">
      <c r="A127" s="73">
        <f>Calc!Y128</f>
        <v>0</v>
      </c>
      <c r="B127" s="74">
        <f>Calc!Z128</f>
        <v>0</v>
      </c>
      <c r="C127" s="74" t="str">
        <f ca="1">Calc!AA128</f>
        <v/>
      </c>
      <c r="D127" s="75" t="str">
        <f ca="1">Calc!AB128</f>
        <v/>
      </c>
      <c r="E127" s="77" t="str">
        <f ca="1">IF(Calc!AC128&lt;&gt;"",Calc!AC128,"")</f>
        <v/>
      </c>
      <c r="F127" s="79">
        <f>Calc!AE128</f>
        <v>0</v>
      </c>
      <c r="G127" s="74">
        <f>Calc!AF128</f>
        <v>0</v>
      </c>
      <c r="H127" s="74" t="str">
        <f ca="1">Calc!AG128</f>
        <v/>
      </c>
      <c r="I127" s="75" t="str">
        <f ca="1">Calc!AH128</f>
        <v/>
      </c>
      <c r="J127" s="77" t="str">
        <f ca="1">Calc!AI128</f>
        <v/>
      </c>
    </row>
    <row r="128" spans="1:10" ht="15">
      <c r="A128" s="73">
        <f>Calc!Y129</f>
        <v>0</v>
      </c>
      <c r="B128" s="74">
        <f>Calc!Z129</f>
        <v>0</v>
      </c>
      <c r="C128" s="74" t="str">
        <f ca="1">Calc!AA129</f>
        <v/>
      </c>
      <c r="D128" s="75" t="str">
        <f ca="1">Calc!AB129</f>
        <v/>
      </c>
      <c r="E128" s="77" t="str">
        <f ca="1">IF(Calc!AC129&lt;&gt;"",Calc!AC129,"")</f>
        <v/>
      </c>
      <c r="F128" s="79">
        <f>Calc!AE129</f>
        <v>0</v>
      </c>
      <c r="G128" s="74">
        <f>Calc!AF129</f>
        <v>0</v>
      </c>
      <c r="H128" s="74" t="str">
        <f ca="1">Calc!AG129</f>
        <v/>
      </c>
      <c r="I128" s="75" t="str">
        <f ca="1">Calc!AH129</f>
        <v/>
      </c>
      <c r="J128" s="77" t="str">
        <f ca="1">Calc!AI129</f>
        <v/>
      </c>
    </row>
    <row r="129" spans="1:10" ht="15">
      <c r="A129" s="73">
        <f>Calc!Y130</f>
        <v>0</v>
      </c>
      <c r="B129" s="74">
        <f>Calc!Z130</f>
        <v>0</v>
      </c>
      <c r="C129" s="74" t="str">
        <f ca="1">Calc!AA130</f>
        <v/>
      </c>
      <c r="D129" s="75" t="str">
        <f ca="1">Calc!AB130</f>
        <v/>
      </c>
      <c r="E129" s="77" t="str">
        <f ca="1">IF(Calc!AC130&lt;&gt;"",Calc!AC130,"")</f>
        <v/>
      </c>
      <c r="F129" s="79">
        <f>Calc!AE130</f>
        <v>0</v>
      </c>
      <c r="G129" s="74">
        <f>Calc!AF130</f>
        <v>0</v>
      </c>
      <c r="H129" s="74" t="str">
        <f ca="1">Calc!AG130</f>
        <v/>
      </c>
      <c r="I129" s="75" t="str">
        <f ca="1">Calc!AH130</f>
        <v/>
      </c>
      <c r="J129" s="77" t="str">
        <f ca="1">Calc!AI130</f>
        <v/>
      </c>
    </row>
    <row r="130" spans="1:10" ht="15">
      <c r="A130" s="73">
        <f>Calc!Y131</f>
        <v>0</v>
      </c>
      <c r="B130" s="74">
        <f>Calc!Z131</f>
        <v>0</v>
      </c>
      <c r="C130" s="74" t="str">
        <f ca="1">Calc!AA131</f>
        <v/>
      </c>
      <c r="D130" s="75" t="str">
        <f ca="1">Calc!AB131</f>
        <v/>
      </c>
      <c r="E130" s="77" t="str">
        <f ca="1">IF(Calc!AC131&lt;&gt;"",Calc!AC131,"")</f>
        <v/>
      </c>
      <c r="F130" s="79">
        <f>Calc!AE131</f>
        <v>0</v>
      </c>
      <c r="G130" s="74">
        <f>Calc!AF131</f>
        <v>0</v>
      </c>
      <c r="H130" s="74" t="str">
        <f ca="1">Calc!AG131</f>
        <v/>
      </c>
      <c r="I130" s="75" t="str">
        <f ca="1">Calc!AH131</f>
        <v/>
      </c>
      <c r="J130" s="77" t="str">
        <f ca="1">Calc!AI131</f>
        <v/>
      </c>
    </row>
    <row r="131" spans="1:10" ht="15">
      <c r="A131" s="73">
        <f>Calc!Y132</f>
        <v>0</v>
      </c>
      <c r="B131" s="74">
        <f>Calc!Z132</f>
        <v>0</v>
      </c>
      <c r="C131" s="74" t="str">
        <f ca="1">Calc!AA132</f>
        <v/>
      </c>
      <c r="D131" s="75" t="str">
        <f ca="1">Calc!AB132</f>
        <v/>
      </c>
      <c r="E131" s="77" t="str">
        <f ca="1">IF(Calc!AC132&lt;&gt;"",Calc!AC132,"")</f>
        <v/>
      </c>
      <c r="F131" s="79">
        <f>Calc!AE132</f>
        <v>0</v>
      </c>
      <c r="G131" s="74">
        <f>Calc!AF132</f>
        <v>0</v>
      </c>
      <c r="H131" s="74" t="str">
        <f ca="1">Calc!AG132</f>
        <v/>
      </c>
      <c r="I131" s="75" t="str">
        <f ca="1">Calc!AH132</f>
        <v/>
      </c>
      <c r="J131" s="77" t="str">
        <f ca="1">Calc!AI132</f>
        <v/>
      </c>
    </row>
    <row r="132" spans="1:10" ht="15">
      <c r="A132" s="73">
        <f>Calc!Y133</f>
        <v>0</v>
      </c>
      <c r="B132" s="74">
        <f>Calc!Z133</f>
        <v>0</v>
      </c>
      <c r="C132" s="74" t="str">
        <f ca="1">Calc!AA133</f>
        <v/>
      </c>
      <c r="D132" s="75" t="str">
        <f ca="1">Calc!AB133</f>
        <v/>
      </c>
      <c r="E132" s="77" t="str">
        <f ca="1">IF(Calc!AC133&lt;&gt;"",Calc!AC133,"")</f>
        <v/>
      </c>
      <c r="F132" s="79">
        <f>Calc!AE133</f>
        <v>0</v>
      </c>
      <c r="G132" s="74">
        <f>Calc!AF133</f>
        <v>0</v>
      </c>
      <c r="H132" s="74" t="str">
        <f ca="1">Calc!AG133</f>
        <v/>
      </c>
      <c r="I132" s="75" t="str">
        <f ca="1">Calc!AH133</f>
        <v/>
      </c>
      <c r="J132" s="77" t="str">
        <f ca="1">Calc!AI133</f>
        <v/>
      </c>
    </row>
    <row r="133" spans="1:10" ht="15">
      <c r="A133" s="73">
        <f>Calc!Y134</f>
        <v>0</v>
      </c>
      <c r="B133" s="74">
        <f>Calc!Z134</f>
        <v>0</v>
      </c>
      <c r="C133" s="74" t="str">
        <f ca="1">Calc!AA134</f>
        <v/>
      </c>
      <c r="D133" s="75" t="str">
        <f ca="1">Calc!AB134</f>
        <v/>
      </c>
      <c r="E133" s="77" t="str">
        <f ca="1">IF(Calc!AC134&lt;&gt;"",Calc!AC134,"")</f>
        <v/>
      </c>
      <c r="F133" s="79">
        <f>Calc!AE134</f>
        <v>0</v>
      </c>
      <c r="G133" s="74">
        <f>Calc!AF134</f>
        <v>0</v>
      </c>
      <c r="H133" s="74" t="str">
        <f ca="1">Calc!AG134</f>
        <v/>
      </c>
      <c r="I133" s="75" t="str">
        <f ca="1">Calc!AH134</f>
        <v/>
      </c>
      <c r="J133" s="77" t="str">
        <f ca="1">Calc!AI134</f>
        <v/>
      </c>
    </row>
    <row r="134" spans="1:10" ht="15">
      <c r="A134" s="73">
        <f>Calc!Y135</f>
        <v>0</v>
      </c>
      <c r="B134" s="74">
        <f>Calc!Z135</f>
        <v>0</v>
      </c>
      <c r="C134" s="74" t="str">
        <f ca="1">Calc!AA135</f>
        <v/>
      </c>
      <c r="D134" s="75" t="str">
        <f ca="1">Calc!AB135</f>
        <v/>
      </c>
      <c r="E134" s="77" t="str">
        <f ca="1">IF(Calc!AC135&lt;&gt;"",Calc!AC135,"")</f>
        <v/>
      </c>
      <c r="F134" s="79">
        <f>Calc!AE135</f>
        <v>0</v>
      </c>
      <c r="G134" s="74">
        <f>Calc!AF135</f>
        <v>0</v>
      </c>
      <c r="H134" s="74" t="str">
        <f ca="1">Calc!AG135</f>
        <v/>
      </c>
      <c r="I134" s="75" t="str">
        <f ca="1">Calc!AH135</f>
        <v/>
      </c>
      <c r="J134" s="77" t="str">
        <f ca="1">Calc!AI135</f>
        <v/>
      </c>
    </row>
    <row r="135" spans="1:10" ht="15">
      <c r="A135" s="73">
        <f>Calc!Y136</f>
        <v>0</v>
      </c>
      <c r="B135" s="74">
        <f>Calc!Z136</f>
        <v>0</v>
      </c>
      <c r="C135" s="74" t="str">
        <f ca="1">Calc!AA136</f>
        <v/>
      </c>
      <c r="D135" s="75" t="str">
        <f ca="1">Calc!AB136</f>
        <v/>
      </c>
      <c r="E135" s="77" t="str">
        <f ca="1">IF(Calc!AC136&lt;&gt;"",Calc!AC136,"")</f>
        <v/>
      </c>
      <c r="F135" s="79">
        <f>Calc!AE136</f>
        <v>0</v>
      </c>
      <c r="G135" s="74">
        <f>Calc!AF136</f>
        <v>0</v>
      </c>
      <c r="H135" s="74" t="str">
        <f ca="1">Calc!AG136</f>
        <v/>
      </c>
      <c r="I135" s="75" t="str">
        <f ca="1">Calc!AH136</f>
        <v/>
      </c>
      <c r="J135" s="77" t="str">
        <f ca="1">Calc!AI136</f>
        <v/>
      </c>
    </row>
    <row r="136" spans="1:10" ht="15">
      <c r="A136" s="73">
        <f>Calc!Y137</f>
        <v>0</v>
      </c>
      <c r="B136" s="74">
        <f>Calc!Z137</f>
        <v>0</v>
      </c>
      <c r="C136" s="74" t="str">
        <f ca="1">Calc!AA137</f>
        <v/>
      </c>
      <c r="D136" s="75" t="str">
        <f ca="1">Calc!AB137</f>
        <v/>
      </c>
      <c r="E136" s="77" t="str">
        <f ca="1">IF(Calc!AC137&lt;&gt;"",Calc!AC137,"")</f>
        <v/>
      </c>
      <c r="F136" s="79">
        <f>Calc!AE137</f>
        <v>0</v>
      </c>
      <c r="G136" s="74">
        <f>Calc!AF137</f>
        <v>0</v>
      </c>
      <c r="H136" s="74" t="str">
        <f ca="1">Calc!AG137</f>
        <v/>
      </c>
      <c r="I136" s="75" t="str">
        <f ca="1">Calc!AH137</f>
        <v/>
      </c>
      <c r="J136" s="77" t="str">
        <f ca="1">Calc!AI137</f>
        <v/>
      </c>
    </row>
    <row r="137" spans="1:10" ht="15">
      <c r="A137" s="73">
        <f>Calc!Y138</f>
        <v>0</v>
      </c>
      <c r="B137" s="74">
        <f>Calc!Z138</f>
        <v>0</v>
      </c>
      <c r="C137" s="74" t="str">
        <f ca="1">Calc!AA138</f>
        <v/>
      </c>
      <c r="D137" s="75" t="str">
        <f ca="1">Calc!AB138</f>
        <v/>
      </c>
      <c r="E137" s="77" t="str">
        <f ca="1">IF(Calc!AC138&lt;&gt;"",Calc!AC138,"")</f>
        <v/>
      </c>
      <c r="F137" s="79">
        <f>Calc!AE138</f>
        <v>0</v>
      </c>
      <c r="G137" s="74">
        <f>Calc!AF138</f>
        <v>0</v>
      </c>
      <c r="H137" s="74" t="str">
        <f ca="1">Calc!AG138</f>
        <v/>
      </c>
      <c r="I137" s="75" t="str">
        <f ca="1">Calc!AH138</f>
        <v/>
      </c>
      <c r="J137" s="77" t="str">
        <f ca="1">Calc!AI138</f>
        <v/>
      </c>
    </row>
    <row r="138" spans="1:10" ht="15">
      <c r="A138" s="73">
        <f>Calc!Y139</f>
        <v>0</v>
      </c>
      <c r="B138" s="74">
        <f>Calc!Z139</f>
        <v>0</v>
      </c>
      <c r="C138" s="74" t="str">
        <f ca="1">Calc!AA139</f>
        <v/>
      </c>
      <c r="D138" s="75" t="str">
        <f ca="1">Calc!AB139</f>
        <v/>
      </c>
      <c r="E138" s="77" t="str">
        <f ca="1">IF(Calc!AC139&lt;&gt;"",Calc!AC139,"")</f>
        <v/>
      </c>
      <c r="F138" s="79">
        <f>Calc!AE139</f>
        <v>0</v>
      </c>
      <c r="G138" s="74">
        <f>Calc!AF139</f>
        <v>0</v>
      </c>
      <c r="H138" s="74" t="str">
        <f ca="1">Calc!AG139</f>
        <v/>
      </c>
      <c r="I138" s="75" t="str">
        <f ca="1">Calc!AH139</f>
        <v/>
      </c>
      <c r="J138" s="77" t="str">
        <f ca="1">Calc!AI139</f>
        <v/>
      </c>
    </row>
    <row r="139" spans="1:10" ht="15">
      <c r="A139" s="73">
        <f>Calc!Y140</f>
        <v>0</v>
      </c>
      <c r="B139" s="74">
        <f>Calc!Z140</f>
        <v>0</v>
      </c>
      <c r="C139" s="74" t="str">
        <f ca="1">Calc!AA140</f>
        <v/>
      </c>
      <c r="D139" s="75" t="str">
        <f ca="1">Calc!AB140</f>
        <v/>
      </c>
      <c r="E139" s="77" t="str">
        <f ca="1">IF(Calc!AC140&lt;&gt;"",Calc!AC140,"")</f>
        <v/>
      </c>
      <c r="F139" s="79">
        <f>Calc!AE140</f>
        <v>0</v>
      </c>
      <c r="G139" s="74">
        <f>Calc!AF140</f>
        <v>0</v>
      </c>
      <c r="H139" s="74" t="str">
        <f ca="1">Calc!AG140</f>
        <v/>
      </c>
      <c r="I139" s="75" t="str">
        <f ca="1">Calc!AH140</f>
        <v/>
      </c>
      <c r="J139" s="77" t="str">
        <f ca="1">Calc!AI140</f>
        <v/>
      </c>
    </row>
    <row r="140" spans="1:10" ht="15">
      <c r="A140" s="73">
        <f>Calc!Y141</f>
        <v>0</v>
      </c>
      <c r="B140" s="74">
        <f>Calc!Z141</f>
        <v>0</v>
      </c>
      <c r="C140" s="74" t="str">
        <f ca="1">Calc!AA141</f>
        <v/>
      </c>
      <c r="D140" s="75" t="str">
        <f ca="1">Calc!AB141</f>
        <v/>
      </c>
      <c r="E140" s="77" t="str">
        <f ca="1">IF(Calc!AC141&lt;&gt;"",Calc!AC141,"")</f>
        <v/>
      </c>
      <c r="F140" s="79">
        <f>Calc!AE141</f>
        <v>0</v>
      </c>
      <c r="G140" s="74">
        <f>Calc!AF141</f>
        <v>0</v>
      </c>
      <c r="H140" s="74" t="str">
        <f ca="1">Calc!AG141</f>
        <v/>
      </c>
      <c r="I140" s="75" t="str">
        <f ca="1">Calc!AH141</f>
        <v/>
      </c>
      <c r="J140" s="77" t="str">
        <f ca="1">Calc!AI141</f>
        <v/>
      </c>
    </row>
    <row r="141" spans="1:10" ht="15">
      <c r="A141" s="73">
        <f>Calc!Y142</f>
        <v>0</v>
      </c>
      <c r="B141" s="74">
        <f>Calc!Z142</f>
        <v>0</v>
      </c>
      <c r="C141" s="74" t="str">
        <f ca="1">Calc!AA142</f>
        <v/>
      </c>
      <c r="D141" s="75" t="str">
        <f ca="1">Calc!AB142</f>
        <v/>
      </c>
      <c r="E141" s="77" t="str">
        <f ca="1">IF(Calc!AC142&lt;&gt;"",Calc!AC142,"")</f>
        <v/>
      </c>
      <c r="F141" s="79">
        <f>Calc!AE142</f>
        <v>0</v>
      </c>
      <c r="G141" s="74">
        <f>Calc!AF142</f>
        <v>0</v>
      </c>
      <c r="H141" s="74" t="str">
        <f ca="1">Calc!AG142</f>
        <v/>
      </c>
      <c r="I141" s="75" t="str">
        <f ca="1">Calc!AH142</f>
        <v/>
      </c>
      <c r="J141" s="77" t="str">
        <f ca="1">Calc!AI142</f>
        <v/>
      </c>
    </row>
    <row r="142" spans="1:10" ht="15">
      <c r="A142" s="73">
        <f>Calc!Y143</f>
        <v>0</v>
      </c>
      <c r="B142" s="74">
        <f>Calc!Z143</f>
        <v>0</v>
      </c>
      <c r="C142" s="74" t="str">
        <f ca="1">Calc!AA143</f>
        <v/>
      </c>
      <c r="D142" s="75" t="str">
        <f ca="1">Calc!AB143</f>
        <v/>
      </c>
      <c r="E142" s="77" t="str">
        <f ca="1">IF(Calc!AC143&lt;&gt;"",Calc!AC143,"")</f>
        <v/>
      </c>
      <c r="F142" s="79">
        <f>Calc!AE143</f>
        <v>0</v>
      </c>
      <c r="G142" s="74">
        <f>Calc!AF143</f>
        <v>0</v>
      </c>
      <c r="H142" s="74" t="str">
        <f ca="1">Calc!AG143</f>
        <v/>
      </c>
      <c r="I142" s="75" t="str">
        <f ca="1">Calc!AH143</f>
        <v/>
      </c>
      <c r="J142" s="77" t="str">
        <f ca="1">Calc!AI143</f>
        <v/>
      </c>
    </row>
    <row r="143" spans="1:10" ht="15">
      <c r="A143" s="73">
        <f>Calc!Y144</f>
        <v>0</v>
      </c>
      <c r="B143" s="74">
        <f>Calc!Z144</f>
        <v>0</v>
      </c>
      <c r="C143" s="74" t="str">
        <f ca="1">Calc!AA144</f>
        <v/>
      </c>
      <c r="D143" s="75" t="str">
        <f ca="1">Calc!AB144</f>
        <v/>
      </c>
      <c r="E143" s="77" t="str">
        <f ca="1">IF(Calc!AC144&lt;&gt;"",Calc!AC144,"")</f>
        <v/>
      </c>
      <c r="F143" s="79">
        <f>Calc!AE144</f>
        <v>0</v>
      </c>
      <c r="G143" s="74">
        <f>Calc!AF144</f>
        <v>0</v>
      </c>
      <c r="H143" s="74" t="str">
        <f ca="1">Calc!AG144</f>
        <v/>
      </c>
      <c r="I143" s="75" t="str">
        <f ca="1">Calc!AH144</f>
        <v/>
      </c>
      <c r="J143" s="77" t="str">
        <f ca="1">Calc!AI144</f>
        <v/>
      </c>
    </row>
    <row r="144" spans="1:10" ht="15">
      <c r="A144" s="73">
        <f>Calc!Y145</f>
        <v>0</v>
      </c>
      <c r="B144" s="74">
        <f>Calc!Z145</f>
        <v>0</v>
      </c>
      <c r="C144" s="74" t="str">
        <f ca="1">Calc!AA145</f>
        <v/>
      </c>
      <c r="D144" s="75" t="str">
        <f ca="1">Calc!AB145</f>
        <v/>
      </c>
      <c r="E144" s="77" t="str">
        <f ca="1">IF(Calc!AC145&lt;&gt;"",Calc!AC145,"")</f>
        <v/>
      </c>
      <c r="F144" s="79">
        <f>Calc!AE145</f>
        <v>0</v>
      </c>
      <c r="G144" s="74">
        <f>Calc!AF145</f>
        <v>0</v>
      </c>
      <c r="H144" s="74" t="str">
        <f ca="1">Calc!AG145</f>
        <v/>
      </c>
      <c r="I144" s="75" t="str">
        <f ca="1">Calc!AH145</f>
        <v/>
      </c>
      <c r="J144" s="77" t="str">
        <f ca="1">Calc!AI145</f>
        <v/>
      </c>
    </row>
    <row r="145" spans="1:10" ht="15">
      <c r="A145" s="73">
        <f>Calc!Y146</f>
        <v>0</v>
      </c>
      <c r="B145" s="74">
        <f>Calc!Z146</f>
        <v>0</v>
      </c>
      <c r="C145" s="74" t="str">
        <f ca="1">Calc!AA146</f>
        <v/>
      </c>
      <c r="D145" s="75" t="str">
        <f ca="1">Calc!AB146</f>
        <v/>
      </c>
      <c r="E145" s="77" t="str">
        <f ca="1">IF(Calc!AC146&lt;&gt;"",Calc!AC146,"")</f>
        <v/>
      </c>
      <c r="F145" s="79">
        <f>Calc!AE146</f>
        <v>0</v>
      </c>
      <c r="G145" s="74">
        <f>Calc!AF146</f>
        <v>0</v>
      </c>
      <c r="H145" s="74" t="str">
        <f ca="1">Calc!AG146</f>
        <v/>
      </c>
      <c r="I145" s="75" t="str">
        <f ca="1">Calc!AH146</f>
        <v/>
      </c>
      <c r="J145" s="77" t="str">
        <f ca="1">Calc!AI146</f>
        <v/>
      </c>
    </row>
    <row r="146" spans="1:10" ht="15">
      <c r="A146" s="73">
        <f>Calc!Y147</f>
        <v>0</v>
      </c>
      <c r="B146" s="74">
        <f>Calc!Z147</f>
        <v>0</v>
      </c>
      <c r="C146" s="74" t="str">
        <f ca="1">Calc!AA147</f>
        <v/>
      </c>
      <c r="D146" s="75" t="str">
        <f ca="1">Calc!AB147</f>
        <v/>
      </c>
      <c r="E146" s="77" t="str">
        <f ca="1">IF(Calc!AC147&lt;&gt;"",Calc!AC147,"")</f>
        <v/>
      </c>
      <c r="F146" s="79">
        <f>Calc!AE147</f>
        <v>0</v>
      </c>
      <c r="G146" s="74">
        <f>Calc!AF147</f>
        <v>0</v>
      </c>
      <c r="H146" s="74" t="str">
        <f ca="1">Calc!AG147</f>
        <v/>
      </c>
      <c r="I146" s="75" t="str">
        <f ca="1">Calc!AH147</f>
        <v/>
      </c>
      <c r="J146" s="77" t="str">
        <f ca="1">Calc!AI147</f>
        <v/>
      </c>
    </row>
    <row r="147" spans="1:10" ht="15">
      <c r="A147" s="73">
        <f>Calc!Y148</f>
        <v>0</v>
      </c>
      <c r="B147" s="74">
        <f>Calc!Z148</f>
        <v>0</v>
      </c>
      <c r="C147" s="74" t="str">
        <f ca="1">Calc!AA148</f>
        <v/>
      </c>
      <c r="D147" s="75" t="str">
        <f ca="1">Calc!AB148</f>
        <v/>
      </c>
      <c r="E147" s="77" t="str">
        <f ca="1">IF(Calc!AC148&lt;&gt;"",Calc!AC148,"")</f>
        <v/>
      </c>
      <c r="F147" s="79">
        <f>Calc!AE148</f>
        <v>0</v>
      </c>
      <c r="G147" s="74">
        <f>Calc!AF148</f>
        <v>0</v>
      </c>
      <c r="H147" s="74" t="str">
        <f ca="1">Calc!AG148</f>
        <v/>
      </c>
      <c r="I147" s="75" t="str">
        <f ca="1">Calc!AH148</f>
        <v/>
      </c>
      <c r="J147" s="77" t="str">
        <f ca="1">Calc!AI148</f>
        <v/>
      </c>
    </row>
    <row r="148" spans="1:10" ht="15">
      <c r="A148" s="73">
        <f>Calc!Y149</f>
        <v>0</v>
      </c>
      <c r="B148" s="74">
        <f>Calc!Z149</f>
        <v>0</v>
      </c>
      <c r="C148" s="74" t="str">
        <f ca="1">Calc!AA149</f>
        <v/>
      </c>
      <c r="D148" s="75" t="str">
        <f ca="1">Calc!AB149</f>
        <v/>
      </c>
      <c r="E148" s="77" t="str">
        <f ca="1">IF(Calc!AC149&lt;&gt;"",Calc!AC149,"")</f>
        <v/>
      </c>
      <c r="F148" s="79">
        <f>Calc!AE149</f>
        <v>0</v>
      </c>
      <c r="G148" s="74">
        <f>Calc!AF149</f>
        <v>0</v>
      </c>
      <c r="H148" s="74" t="str">
        <f ca="1">Calc!AG149</f>
        <v/>
      </c>
      <c r="I148" s="75" t="str">
        <f ca="1">Calc!AH149</f>
        <v/>
      </c>
      <c r="J148" s="77" t="str">
        <f ca="1">Calc!AI149</f>
        <v/>
      </c>
    </row>
    <row r="149" spans="1:10" ht="15">
      <c r="A149" s="73">
        <f>Calc!Y150</f>
        <v>0</v>
      </c>
      <c r="B149" s="74">
        <f>Calc!Z150</f>
        <v>0</v>
      </c>
      <c r="C149" s="74" t="str">
        <f ca="1">Calc!AA150</f>
        <v/>
      </c>
      <c r="D149" s="75" t="str">
        <f ca="1">Calc!AB150</f>
        <v/>
      </c>
      <c r="E149" s="77" t="str">
        <f ca="1">IF(Calc!AC150&lt;&gt;"",Calc!AC150,"")</f>
        <v/>
      </c>
      <c r="F149" s="79">
        <f>Calc!AE150</f>
        <v>0</v>
      </c>
      <c r="G149" s="74">
        <f>Calc!AF150</f>
        <v>0</v>
      </c>
      <c r="H149" s="74" t="str">
        <f ca="1">Calc!AG150</f>
        <v/>
      </c>
      <c r="I149" s="75" t="str">
        <f ca="1">Calc!AH150</f>
        <v/>
      </c>
      <c r="J149" s="77" t="str">
        <f ca="1">Calc!AI150</f>
        <v/>
      </c>
    </row>
    <row r="150" spans="1:10" ht="15">
      <c r="A150" s="73">
        <f>Calc!Y151</f>
        <v>0</v>
      </c>
      <c r="B150" s="74">
        <f>Calc!Z151</f>
        <v>0</v>
      </c>
      <c r="C150" s="74" t="str">
        <f ca="1">Calc!AA151</f>
        <v/>
      </c>
      <c r="D150" s="75" t="str">
        <f ca="1">Calc!AB151</f>
        <v/>
      </c>
      <c r="E150" s="77" t="str">
        <f ca="1">IF(Calc!AC151&lt;&gt;"",Calc!AC151,"")</f>
        <v/>
      </c>
      <c r="F150" s="79">
        <f>Calc!AE151</f>
        <v>0</v>
      </c>
      <c r="G150" s="74">
        <f>Calc!AF151</f>
        <v>0</v>
      </c>
      <c r="H150" s="74" t="str">
        <f ca="1">Calc!AG151</f>
        <v/>
      </c>
      <c r="I150" s="75" t="str">
        <f ca="1">Calc!AH151</f>
        <v/>
      </c>
      <c r="J150" s="77" t="str">
        <f ca="1">Calc!AI151</f>
        <v/>
      </c>
    </row>
    <row r="151" spans="1:10" ht="15">
      <c r="A151" s="73">
        <f>Calc!Y152</f>
        <v>0</v>
      </c>
      <c r="B151" s="74">
        <f>Calc!Z152</f>
        <v>0</v>
      </c>
      <c r="C151" s="74" t="str">
        <f ca="1">Calc!AA152</f>
        <v/>
      </c>
      <c r="D151" s="75" t="str">
        <f ca="1">Calc!AB152</f>
        <v/>
      </c>
      <c r="E151" s="77" t="str">
        <f ca="1">IF(Calc!AC152&lt;&gt;"",Calc!AC152,"")</f>
        <v/>
      </c>
      <c r="F151" s="79">
        <f>Calc!AE152</f>
        <v>0</v>
      </c>
      <c r="G151" s="74">
        <f>Calc!AF152</f>
        <v>0</v>
      </c>
      <c r="H151" s="74" t="str">
        <f ca="1">Calc!AG152</f>
        <v/>
      </c>
      <c r="I151" s="75" t="str">
        <f ca="1">Calc!AH152</f>
        <v/>
      </c>
      <c r="J151" s="77" t="str">
        <f ca="1">Calc!AI152</f>
        <v/>
      </c>
    </row>
    <row r="152" spans="1:10" ht="15">
      <c r="A152" s="73">
        <f>Calc!Y153</f>
        <v>0</v>
      </c>
      <c r="B152" s="74">
        <f>Calc!Z153</f>
        <v>0</v>
      </c>
      <c r="C152" s="74" t="str">
        <f ca="1">Calc!AA153</f>
        <v/>
      </c>
      <c r="D152" s="75" t="str">
        <f ca="1">Calc!AB153</f>
        <v/>
      </c>
      <c r="E152" s="77" t="str">
        <f ca="1">IF(Calc!AC153&lt;&gt;"",Calc!AC153,"")</f>
        <v/>
      </c>
      <c r="F152" s="79">
        <f>Calc!AE153</f>
        <v>0</v>
      </c>
      <c r="G152" s="74">
        <f>Calc!AF153</f>
        <v>0</v>
      </c>
      <c r="H152" s="74" t="str">
        <f ca="1">Calc!AG153</f>
        <v/>
      </c>
      <c r="I152" s="75" t="str">
        <f ca="1">Calc!AH153</f>
        <v/>
      </c>
      <c r="J152" s="77" t="str">
        <f ca="1">Calc!AI153</f>
        <v/>
      </c>
    </row>
    <row r="153" spans="1:10" ht="15">
      <c r="A153" s="73">
        <f>Calc!Y154</f>
        <v>0</v>
      </c>
      <c r="B153" s="74">
        <f>Calc!Z154</f>
        <v>0</v>
      </c>
      <c r="C153" s="74" t="str">
        <f ca="1">Calc!AA154</f>
        <v/>
      </c>
      <c r="D153" s="75" t="str">
        <f ca="1">Calc!AB154</f>
        <v/>
      </c>
      <c r="E153" s="77" t="str">
        <f ca="1">IF(Calc!AC154&lt;&gt;"",Calc!AC154,"")</f>
        <v/>
      </c>
      <c r="F153" s="79">
        <f>Calc!AE154</f>
        <v>0</v>
      </c>
      <c r="G153" s="74">
        <f>Calc!AF154</f>
        <v>0</v>
      </c>
      <c r="H153" s="74" t="str">
        <f ca="1">Calc!AG154</f>
        <v/>
      </c>
      <c r="I153" s="75" t="str">
        <f ca="1">Calc!AH154</f>
        <v/>
      </c>
      <c r="J153" s="77" t="str">
        <f ca="1">Calc!AI154</f>
        <v/>
      </c>
    </row>
    <row r="154" spans="1:10" ht="15">
      <c r="A154" s="73">
        <f>Calc!Y155</f>
        <v>0</v>
      </c>
      <c r="B154" s="74">
        <f>Calc!Z155</f>
        <v>0</v>
      </c>
      <c r="C154" s="74" t="str">
        <f ca="1">Calc!AA155</f>
        <v/>
      </c>
      <c r="D154" s="75" t="str">
        <f ca="1">Calc!AB155</f>
        <v/>
      </c>
      <c r="E154" s="77" t="str">
        <f ca="1">IF(Calc!AC155&lt;&gt;"",Calc!AC155,"")</f>
        <v/>
      </c>
      <c r="F154" s="79">
        <f>Calc!AE155</f>
        <v>0</v>
      </c>
      <c r="G154" s="74">
        <f>Calc!AF155</f>
        <v>0</v>
      </c>
      <c r="H154" s="74" t="str">
        <f ca="1">Calc!AG155</f>
        <v/>
      </c>
      <c r="I154" s="75" t="str">
        <f ca="1">Calc!AH155</f>
        <v/>
      </c>
      <c r="J154" s="77" t="str">
        <f ca="1">Calc!AI155</f>
        <v/>
      </c>
    </row>
    <row r="155" spans="1:10" ht="15">
      <c r="A155" s="73">
        <f>Calc!Y156</f>
        <v>0</v>
      </c>
      <c r="B155" s="74">
        <f>Calc!Z156</f>
        <v>0</v>
      </c>
      <c r="C155" s="74" t="str">
        <f ca="1">Calc!AA156</f>
        <v/>
      </c>
      <c r="D155" s="75" t="str">
        <f ca="1">Calc!AB156</f>
        <v/>
      </c>
      <c r="E155" s="77" t="str">
        <f ca="1">IF(Calc!AC156&lt;&gt;"",Calc!AC156,"")</f>
        <v/>
      </c>
      <c r="F155" s="79">
        <f>Calc!AE156</f>
        <v>0</v>
      </c>
      <c r="G155" s="74">
        <f>Calc!AF156</f>
        <v>0</v>
      </c>
      <c r="H155" s="74" t="str">
        <f ca="1">Calc!AG156</f>
        <v/>
      </c>
      <c r="I155" s="75" t="str">
        <f ca="1">Calc!AH156</f>
        <v/>
      </c>
      <c r="J155" s="77" t="str">
        <f ca="1">Calc!AI156</f>
        <v/>
      </c>
    </row>
    <row r="156" spans="1:10" ht="15">
      <c r="A156" s="73">
        <f>Calc!Y157</f>
        <v>0</v>
      </c>
      <c r="B156" s="74">
        <f>Calc!Z157</f>
        <v>0</v>
      </c>
      <c r="C156" s="74" t="str">
        <f ca="1">Calc!AA157</f>
        <v/>
      </c>
      <c r="D156" s="75" t="str">
        <f ca="1">Calc!AB157</f>
        <v/>
      </c>
      <c r="E156" s="77" t="str">
        <f ca="1">IF(Calc!AC157&lt;&gt;"",Calc!AC157,"")</f>
        <v/>
      </c>
      <c r="F156" s="79">
        <f>Calc!AE157</f>
        <v>0</v>
      </c>
      <c r="G156" s="74">
        <f>Calc!AF157</f>
        <v>0</v>
      </c>
      <c r="H156" s="74" t="str">
        <f ca="1">Calc!AG157</f>
        <v/>
      </c>
      <c r="I156" s="75" t="str">
        <f ca="1">Calc!AH157</f>
        <v/>
      </c>
      <c r="J156" s="77" t="str">
        <f ca="1">Calc!AI157</f>
        <v/>
      </c>
    </row>
    <row r="157" spans="1:10" ht="15">
      <c r="A157" s="73">
        <f>Calc!Y158</f>
        <v>0</v>
      </c>
      <c r="B157" s="74">
        <f>Calc!Z158</f>
        <v>0</v>
      </c>
      <c r="C157" s="74" t="str">
        <f ca="1">Calc!AA158</f>
        <v/>
      </c>
      <c r="D157" s="75" t="str">
        <f ca="1">Calc!AB158</f>
        <v/>
      </c>
      <c r="E157" s="77" t="str">
        <f ca="1">IF(Calc!AC158&lt;&gt;"",Calc!AC158,"")</f>
        <v/>
      </c>
      <c r="F157" s="79">
        <f>Calc!AE158</f>
        <v>0</v>
      </c>
      <c r="G157" s="74">
        <f>Calc!AF158</f>
        <v>0</v>
      </c>
      <c r="H157" s="74" t="str">
        <f ca="1">Calc!AG158</f>
        <v/>
      </c>
      <c r="I157" s="75" t="str">
        <f ca="1">Calc!AH158</f>
        <v/>
      </c>
      <c r="J157" s="77" t="str">
        <f ca="1">Calc!AI158</f>
        <v/>
      </c>
    </row>
    <row r="158" spans="1:10" ht="15">
      <c r="A158" s="73">
        <f>Calc!Y159</f>
        <v>0</v>
      </c>
      <c r="B158" s="74">
        <f>Calc!Z159</f>
        <v>0</v>
      </c>
      <c r="C158" s="74" t="str">
        <f ca="1">Calc!AA159</f>
        <v/>
      </c>
      <c r="D158" s="75" t="str">
        <f ca="1">Calc!AB159</f>
        <v/>
      </c>
      <c r="E158" s="77" t="str">
        <f ca="1">IF(Calc!AC159&lt;&gt;"",Calc!AC159,"")</f>
        <v/>
      </c>
      <c r="F158" s="79">
        <f>Calc!AE159</f>
        <v>0</v>
      </c>
      <c r="G158" s="74">
        <f>Calc!AF159</f>
        <v>0</v>
      </c>
      <c r="H158" s="74" t="str">
        <f ca="1">Calc!AG159</f>
        <v/>
      </c>
      <c r="I158" s="75" t="str">
        <f ca="1">Calc!AH159</f>
        <v/>
      </c>
      <c r="J158" s="77" t="str">
        <f ca="1">Calc!AI159</f>
        <v/>
      </c>
    </row>
    <row r="159" spans="1:10" ht="15">
      <c r="A159" s="73">
        <f>Calc!Y160</f>
        <v>0</v>
      </c>
      <c r="B159" s="74">
        <f>Calc!Z160</f>
        <v>0</v>
      </c>
      <c r="C159" s="74" t="str">
        <f ca="1">Calc!AA160</f>
        <v/>
      </c>
      <c r="D159" s="75" t="str">
        <f ca="1">Calc!AB160</f>
        <v/>
      </c>
      <c r="E159" s="77" t="str">
        <f ca="1">IF(Calc!AC160&lt;&gt;"",Calc!AC160,"")</f>
        <v/>
      </c>
      <c r="F159" s="79">
        <f>Calc!AE160</f>
        <v>0</v>
      </c>
      <c r="G159" s="74">
        <f>Calc!AF160</f>
        <v>0</v>
      </c>
      <c r="H159" s="74" t="str">
        <f ca="1">Calc!AG160</f>
        <v/>
      </c>
      <c r="I159" s="75" t="str">
        <f ca="1">Calc!AH160</f>
        <v/>
      </c>
      <c r="J159" s="77" t="str">
        <f ca="1">Calc!AI160</f>
        <v/>
      </c>
    </row>
    <row r="160" spans="1:10" ht="15">
      <c r="A160" s="73">
        <f>Calc!Y161</f>
        <v>0</v>
      </c>
      <c r="B160" s="74">
        <f>Calc!Z161</f>
        <v>0</v>
      </c>
      <c r="C160" s="74" t="str">
        <f ca="1">Calc!AA161</f>
        <v/>
      </c>
      <c r="D160" s="75" t="str">
        <f ca="1">Calc!AB161</f>
        <v/>
      </c>
      <c r="E160" s="77" t="str">
        <f ca="1">IF(Calc!AC161&lt;&gt;"",Calc!AC161,"")</f>
        <v/>
      </c>
      <c r="F160" s="79">
        <f>Calc!AE161</f>
        <v>0</v>
      </c>
      <c r="G160" s="74">
        <f>Calc!AF161</f>
        <v>0</v>
      </c>
      <c r="H160" s="74" t="str">
        <f ca="1">Calc!AG161</f>
        <v/>
      </c>
      <c r="I160" s="75" t="str">
        <f ca="1">Calc!AH161</f>
        <v/>
      </c>
      <c r="J160" s="77" t="str">
        <f ca="1">Calc!AI161</f>
        <v/>
      </c>
    </row>
    <row r="161" spans="1:10" ht="15">
      <c r="A161" s="73">
        <f>Calc!Y162</f>
        <v>0</v>
      </c>
      <c r="B161" s="74">
        <f>Calc!Z162</f>
        <v>0</v>
      </c>
      <c r="C161" s="74" t="str">
        <f ca="1">Calc!AA162</f>
        <v/>
      </c>
      <c r="D161" s="75" t="str">
        <f ca="1">Calc!AB162</f>
        <v/>
      </c>
      <c r="E161" s="77" t="str">
        <f ca="1">IF(Calc!AC162&lt;&gt;"",Calc!AC162,"")</f>
        <v/>
      </c>
      <c r="F161" s="79">
        <f>Calc!AE162</f>
        <v>0</v>
      </c>
      <c r="G161" s="74">
        <f>Calc!AF162</f>
        <v>0</v>
      </c>
      <c r="H161" s="74" t="str">
        <f ca="1">Calc!AG162</f>
        <v/>
      </c>
      <c r="I161" s="75" t="str">
        <f ca="1">Calc!AH162</f>
        <v/>
      </c>
      <c r="J161" s="77" t="str">
        <f ca="1">Calc!AI162</f>
        <v/>
      </c>
    </row>
    <row r="162" spans="1:10" ht="15">
      <c r="A162" s="73">
        <f>Calc!Y163</f>
        <v>0</v>
      </c>
      <c r="B162" s="74">
        <f>Calc!Z163</f>
        <v>0</v>
      </c>
      <c r="C162" s="74" t="str">
        <f ca="1">Calc!AA163</f>
        <v/>
      </c>
      <c r="D162" s="75" t="str">
        <f ca="1">Calc!AB163</f>
        <v/>
      </c>
      <c r="E162" s="77" t="str">
        <f ca="1">IF(Calc!AC163&lt;&gt;"",Calc!AC163,"")</f>
        <v/>
      </c>
      <c r="F162" s="79">
        <f>Calc!AE163</f>
        <v>0</v>
      </c>
      <c r="G162" s="74">
        <f>Calc!AF163</f>
        <v>0</v>
      </c>
      <c r="H162" s="74" t="str">
        <f ca="1">Calc!AG163</f>
        <v/>
      </c>
      <c r="I162" s="75" t="str">
        <f ca="1">Calc!AH163</f>
        <v/>
      </c>
      <c r="J162" s="77" t="str">
        <f ca="1">Calc!AI163</f>
        <v/>
      </c>
    </row>
    <row r="163" spans="1:10" ht="15">
      <c r="A163" s="73">
        <f>Calc!Y164</f>
        <v>0</v>
      </c>
      <c r="B163" s="74">
        <f>Calc!Z164</f>
        <v>0</v>
      </c>
      <c r="C163" s="74" t="str">
        <f ca="1">Calc!AA164</f>
        <v/>
      </c>
      <c r="D163" s="75" t="str">
        <f ca="1">Calc!AB164</f>
        <v/>
      </c>
      <c r="E163" s="77" t="str">
        <f ca="1">IF(Calc!AC164&lt;&gt;"",Calc!AC164,"")</f>
        <v/>
      </c>
      <c r="F163" s="79">
        <f>Calc!AE164</f>
        <v>0</v>
      </c>
      <c r="G163" s="74">
        <f>Calc!AF164</f>
        <v>0</v>
      </c>
      <c r="H163" s="74" t="str">
        <f ca="1">Calc!AG164</f>
        <v/>
      </c>
      <c r="I163" s="75" t="str">
        <f ca="1">Calc!AH164</f>
        <v/>
      </c>
      <c r="J163" s="77" t="str">
        <f ca="1">Calc!AI164</f>
        <v/>
      </c>
    </row>
    <row r="164" spans="1:10" ht="15">
      <c r="A164" s="73">
        <f>Calc!Y165</f>
        <v>0</v>
      </c>
      <c r="B164" s="74">
        <f>Calc!Z165</f>
        <v>0</v>
      </c>
      <c r="C164" s="74" t="str">
        <f ca="1">Calc!AA165</f>
        <v/>
      </c>
      <c r="D164" s="75" t="str">
        <f ca="1">Calc!AB165</f>
        <v/>
      </c>
      <c r="E164" s="77" t="str">
        <f ca="1">IF(Calc!AC165&lt;&gt;"",Calc!AC165,"")</f>
        <v/>
      </c>
      <c r="F164" s="79">
        <f>Calc!AE165</f>
        <v>0</v>
      </c>
      <c r="G164" s="74">
        <f>Calc!AF165</f>
        <v>0</v>
      </c>
      <c r="H164" s="74" t="str">
        <f ca="1">Calc!AG165</f>
        <v/>
      </c>
      <c r="I164" s="75" t="str">
        <f ca="1">Calc!AH165</f>
        <v/>
      </c>
      <c r="J164" s="77" t="str">
        <f ca="1">Calc!AI165</f>
        <v/>
      </c>
    </row>
    <row r="165" spans="1:10" ht="15">
      <c r="A165" s="73">
        <f>Calc!Y166</f>
        <v>0</v>
      </c>
      <c r="B165" s="74">
        <f>Calc!Z166</f>
        <v>0</v>
      </c>
      <c r="C165" s="74" t="str">
        <f ca="1">Calc!AA166</f>
        <v/>
      </c>
      <c r="D165" s="75" t="str">
        <f ca="1">Calc!AB166</f>
        <v/>
      </c>
      <c r="E165" s="77" t="str">
        <f ca="1">IF(Calc!AC166&lt;&gt;"",Calc!AC166,"")</f>
        <v/>
      </c>
      <c r="F165" s="79">
        <f>Calc!AE166</f>
        <v>0</v>
      </c>
      <c r="G165" s="74">
        <f>Calc!AF166</f>
        <v>0</v>
      </c>
      <c r="H165" s="74" t="str">
        <f ca="1">Calc!AG166</f>
        <v/>
      </c>
      <c r="I165" s="75" t="str">
        <f ca="1">Calc!AH166</f>
        <v/>
      </c>
      <c r="J165" s="77" t="str">
        <f ca="1">Calc!AI166</f>
        <v/>
      </c>
    </row>
    <row r="166" spans="1:10" ht="15">
      <c r="A166" s="73">
        <f>Calc!Y167</f>
        <v>0</v>
      </c>
      <c r="B166" s="74">
        <f>Calc!Z167</f>
        <v>0</v>
      </c>
      <c r="C166" s="74" t="str">
        <f ca="1">Calc!AA167</f>
        <v/>
      </c>
      <c r="D166" s="75" t="str">
        <f ca="1">Calc!AB167</f>
        <v/>
      </c>
      <c r="E166" s="77" t="str">
        <f ca="1">IF(Calc!AC167&lt;&gt;"",Calc!AC167,"")</f>
        <v/>
      </c>
      <c r="F166" s="79">
        <f>Calc!AE167</f>
        <v>0</v>
      </c>
      <c r="G166" s="74">
        <f>Calc!AF167</f>
        <v>0</v>
      </c>
      <c r="H166" s="74" t="str">
        <f ca="1">Calc!AG167</f>
        <v/>
      </c>
      <c r="I166" s="75" t="str">
        <f ca="1">Calc!AH167</f>
        <v/>
      </c>
      <c r="J166" s="77" t="str">
        <f ca="1">Calc!AI167</f>
        <v/>
      </c>
    </row>
    <row r="167" spans="1:10" ht="15">
      <c r="A167" s="73">
        <f>Calc!Y168</f>
        <v>0</v>
      </c>
      <c r="B167" s="74">
        <f>Calc!Z168</f>
        <v>0</v>
      </c>
      <c r="C167" s="74" t="str">
        <f ca="1">Calc!AA168</f>
        <v/>
      </c>
      <c r="D167" s="75" t="str">
        <f ca="1">Calc!AB168</f>
        <v/>
      </c>
      <c r="E167" s="77" t="str">
        <f ca="1">IF(Calc!AC168&lt;&gt;"",Calc!AC168,"")</f>
        <v/>
      </c>
      <c r="F167" s="79">
        <f>Calc!AE168</f>
        <v>0</v>
      </c>
      <c r="G167" s="74">
        <f>Calc!AF168</f>
        <v>0</v>
      </c>
      <c r="H167" s="74" t="str">
        <f ca="1">Calc!AG168</f>
        <v/>
      </c>
      <c r="I167" s="75" t="str">
        <f ca="1">Calc!AH168</f>
        <v/>
      </c>
      <c r="J167" s="77" t="str">
        <f ca="1">Calc!AI168</f>
        <v/>
      </c>
    </row>
    <row r="168" spans="1:10" ht="15">
      <c r="A168" s="73">
        <f>Calc!Y169</f>
        <v>0</v>
      </c>
      <c r="B168" s="74">
        <f>Calc!Z169</f>
        <v>0</v>
      </c>
      <c r="C168" s="74" t="str">
        <f ca="1">Calc!AA169</f>
        <v/>
      </c>
      <c r="D168" s="75" t="str">
        <f ca="1">Calc!AB169</f>
        <v/>
      </c>
      <c r="E168" s="77" t="str">
        <f ca="1">IF(Calc!AC169&lt;&gt;"",Calc!AC169,"")</f>
        <v/>
      </c>
      <c r="F168" s="79">
        <f>Calc!AE169</f>
        <v>0</v>
      </c>
      <c r="G168" s="74">
        <f>Calc!AF169</f>
        <v>0</v>
      </c>
      <c r="H168" s="74" t="str">
        <f ca="1">Calc!AG169</f>
        <v/>
      </c>
      <c r="I168" s="75" t="str">
        <f ca="1">Calc!AH169</f>
        <v/>
      </c>
      <c r="J168" s="77" t="str">
        <f ca="1">Calc!AI169</f>
        <v/>
      </c>
    </row>
    <row r="169" spans="1:10" ht="15">
      <c r="A169" s="73">
        <f>Calc!Y170</f>
        <v>0</v>
      </c>
      <c r="B169" s="74">
        <f>Calc!Z170</f>
        <v>0</v>
      </c>
      <c r="C169" s="74" t="str">
        <f ca="1">Calc!AA170</f>
        <v/>
      </c>
      <c r="D169" s="75" t="str">
        <f ca="1">Calc!AB170</f>
        <v/>
      </c>
      <c r="E169" s="77" t="str">
        <f ca="1">IF(Calc!AC170&lt;&gt;"",Calc!AC170,"")</f>
        <v/>
      </c>
      <c r="F169" s="79">
        <f>Calc!AE170</f>
        <v>0</v>
      </c>
      <c r="G169" s="74">
        <f>Calc!AF170</f>
        <v>0</v>
      </c>
      <c r="H169" s="74" t="str">
        <f ca="1">Calc!AG170</f>
        <v/>
      </c>
      <c r="I169" s="75" t="str">
        <f ca="1">Calc!AH170</f>
        <v/>
      </c>
      <c r="J169" s="77" t="str">
        <f ca="1">Calc!AI170</f>
        <v/>
      </c>
    </row>
    <row r="170" spans="1:10" ht="15">
      <c r="A170" s="73">
        <f>Calc!Y171</f>
        <v>0</v>
      </c>
      <c r="B170" s="74">
        <f>Calc!Z171</f>
        <v>0</v>
      </c>
      <c r="C170" s="74" t="str">
        <f ca="1">Calc!AA171</f>
        <v/>
      </c>
      <c r="D170" s="75" t="str">
        <f ca="1">Calc!AB171</f>
        <v/>
      </c>
      <c r="E170" s="77" t="str">
        <f ca="1">IF(Calc!AC171&lt;&gt;"",Calc!AC171,"")</f>
        <v/>
      </c>
      <c r="F170" s="79">
        <f>Calc!AE171</f>
        <v>0</v>
      </c>
      <c r="G170" s="74">
        <f>Calc!AF171</f>
        <v>0</v>
      </c>
      <c r="H170" s="74" t="str">
        <f ca="1">Calc!AG171</f>
        <v/>
      </c>
      <c r="I170" s="75" t="str">
        <f ca="1">Calc!AH171</f>
        <v/>
      </c>
      <c r="J170" s="77" t="str">
        <f ca="1">Calc!AI171</f>
        <v/>
      </c>
    </row>
    <row r="171" spans="1:10" ht="15">
      <c r="A171" s="73">
        <f>Calc!Y172</f>
        <v>0</v>
      </c>
      <c r="B171" s="74">
        <f>Calc!Z172</f>
        <v>0</v>
      </c>
      <c r="C171" s="74" t="str">
        <f ca="1">Calc!AA172</f>
        <v/>
      </c>
      <c r="D171" s="75" t="str">
        <f ca="1">Calc!AB172</f>
        <v/>
      </c>
      <c r="E171" s="77" t="str">
        <f ca="1">IF(Calc!AC172&lt;&gt;"",Calc!AC172,"")</f>
        <v/>
      </c>
      <c r="F171" s="79">
        <f>Calc!AE172</f>
        <v>0</v>
      </c>
      <c r="G171" s="74">
        <f>Calc!AF172</f>
        <v>0</v>
      </c>
      <c r="H171" s="74" t="str">
        <f ca="1">Calc!AG172</f>
        <v/>
      </c>
      <c r="I171" s="75" t="str">
        <f ca="1">Calc!AH172</f>
        <v/>
      </c>
      <c r="J171" s="77" t="str">
        <f ca="1">Calc!AI172</f>
        <v/>
      </c>
    </row>
    <row r="172" spans="1:10" ht="15">
      <c r="A172" s="73">
        <f>Calc!Y173</f>
        <v>0</v>
      </c>
      <c r="B172" s="74">
        <f>Calc!Z173</f>
        <v>0</v>
      </c>
      <c r="C172" s="74" t="str">
        <f ca="1">Calc!AA173</f>
        <v/>
      </c>
      <c r="D172" s="75" t="str">
        <f ca="1">Calc!AB173</f>
        <v/>
      </c>
      <c r="E172" s="77" t="str">
        <f ca="1">IF(Calc!AC173&lt;&gt;"",Calc!AC173,"")</f>
        <v/>
      </c>
      <c r="F172" s="79">
        <f>Calc!AE173</f>
        <v>0</v>
      </c>
      <c r="G172" s="74">
        <f>Calc!AF173</f>
        <v>0</v>
      </c>
      <c r="H172" s="74" t="str">
        <f ca="1">Calc!AG173</f>
        <v/>
      </c>
      <c r="I172" s="75" t="str">
        <f ca="1">Calc!AH173</f>
        <v/>
      </c>
      <c r="J172" s="77" t="str">
        <f ca="1">Calc!AI173</f>
        <v/>
      </c>
    </row>
    <row r="173" spans="1:10" ht="15">
      <c r="A173" s="73">
        <f>Calc!Y174</f>
        <v>0</v>
      </c>
      <c r="B173" s="74">
        <f>Calc!Z174</f>
        <v>0</v>
      </c>
      <c r="C173" s="74" t="str">
        <f ca="1">Calc!AA174</f>
        <v/>
      </c>
      <c r="D173" s="75" t="str">
        <f ca="1">Calc!AB174</f>
        <v/>
      </c>
      <c r="E173" s="77" t="str">
        <f ca="1">IF(Calc!AC174&lt;&gt;"",Calc!AC174,"")</f>
        <v/>
      </c>
      <c r="F173" s="79">
        <f>Calc!AE174</f>
        <v>0</v>
      </c>
      <c r="G173" s="74">
        <f>Calc!AF174</f>
        <v>0</v>
      </c>
      <c r="H173" s="74" t="str">
        <f ca="1">Calc!AG174</f>
        <v/>
      </c>
      <c r="I173" s="75" t="str">
        <f ca="1">Calc!AH174</f>
        <v/>
      </c>
      <c r="J173" s="77" t="str">
        <f ca="1">Calc!AI174</f>
        <v/>
      </c>
    </row>
    <row r="174" spans="1:10" ht="15">
      <c r="A174" s="73">
        <f>Calc!Y175</f>
        <v>0</v>
      </c>
      <c r="B174" s="74">
        <f>Calc!Z175</f>
        <v>0</v>
      </c>
      <c r="C174" s="74" t="str">
        <f ca="1">Calc!AA175</f>
        <v/>
      </c>
      <c r="D174" s="75" t="str">
        <f ca="1">Calc!AB175</f>
        <v/>
      </c>
      <c r="E174" s="77" t="str">
        <f ca="1">IF(Calc!AC175&lt;&gt;"",Calc!AC175,"")</f>
        <v/>
      </c>
      <c r="F174" s="79">
        <f>Calc!AE175</f>
        <v>0</v>
      </c>
      <c r="G174" s="74">
        <f>Calc!AF175</f>
        <v>0</v>
      </c>
      <c r="H174" s="74" t="str">
        <f ca="1">Calc!AG175</f>
        <v/>
      </c>
      <c r="I174" s="75" t="str">
        <f ca="1">Calc!AH175</f>
        <v/>
      </c>
      <c r="J174" s="77" t="str">
        <f ca="1">Calc!AI175</f>
        <v/>
      </c>
    </row>
    <row r="175" spans="1:10" ht="15">
      <c r="A175" s="73">
        <f>Calc!Y176</f>
        <v>0</v>
      </c>
      <c r="B175" s="74">
        <f>Calc!Z176</f>
        <v>0</v>
      </c>
      <c r="C175" s="74" t="str">
        <f ca="1">Calc!AA176</f>
        <v/>
      </c>
      <c r="D175" s="75" t="str">
        <f ca="1">Calc!AB176</f>
        <v/>
      </c>
      <c r="E175" s="77" t="str">
        <f ca="1">IF(Calc!AC176&lt;&gt;"",Calc!AC176,"")</f>
        <v/>
      </c>
      <c r="F175" s="79">
        <f>Calc!AE176</f>
        <v>0</v>
      </c>
      <c r="G175" s="74">
        <f>Calc!AF176</f>
        <v>0</v>
      </c>
      <c r="H175" s="74" t="str">
        <f ca="1">Calc!AG176</f>
        <v/>
      </c>
      <c r="I175" s="75" t="str">
        <f ca="1">Calc!AH176</f>
        <v/>
      </c>
      <c r="J175" s="77" t="str">
        <f ca="1">Calc!AI176</f>
        <v/>
      </c>
    </row>
    <row r="176" spans="1:10" ht="15">
      <c r="A176" s="73">
        <f>Calc!Y177</f>
        <v>0</v>
      </c>
      <c r="B176" s="74">
        <f>Calc!Z177</f>
        <v>0</v>
      </c>
      <c r="C176" s="74" t="str">
        <f ca="1">Calc!AA177</f>
        <v/>
      </c>
      <c r="D176" s="75" t="str">
        <f ca="1">Calc!AB177</f>
        <v/>
      </c>
      <c r="E176" s="77" t="str">
        <f ca="1">IF(Calc!AC177&lt;&gt;"",Calc!AC177,"")</f>
        <v/>
      </c>
      <c r="F176" s="79">
        <f>Calc!AE177</f>
        <v>0</v>
      </c>
      <c r="G176" s="74">
        <f>Calc!AF177</f>
        <v>0</v>
      </c>
      <c r="H176" s="74" t="str">
        <f ca="1">Calc!AG177</f>
        <v/>
      </c>
      <c r="I176" s="75" t="str">
        <f ca="1">Calc!AH177</f>
        <v/>
      </c>
      <c r="J176" s="77" t="str">
        <f ca="1">Calc!AI177</f>
        <v/>
      </c>
    </row>
    <row r="177" spans="1:10" ht="15">
      <c r="A177" s="73">
        <f>Calc!Y178</f>
        <v>0</v>
      </c>
      <c r="B177" s="74">
        <f>Calc!Z178</f>
        <v>0</v>
      </c>
      <c r="C177" s="74" t="str">
        <f ca="1">Calc!AA178</f>
        <v/>
      </c>
      <c r="D177" s="75" t="str">
        <f ca="1">Calc!AB178</f>
        <v/>
      </c>
      <c r="E177" s="77" t="str">
        <f ca="1">IF(Calc!AC178&lt;&gt;"",Calc!AC178,"")</f>
        <v/>
      </c>
      <c r="F177" s="79">
        <f>Calc!AE178</f>
        <v>0</v>
      </c>
      <c r="G177" s="74">
        <f>Calc!AF178</f>
        <v>0</v>
      </c>
      <c r="H177" s="74" t="str">
        <f ca="1">Calc!AG178</f>
        <v/>
      </c>
      <c r="I177" s="75" t="str">
        <f ca="1">Calc!AH178</f>
        <v/>
      </c>
      <c r="J177" s="77" t="str">
        <f ca="1">Calc!AI178</f>
        <v/>
      </c>
    </row>
    <row r="178" spans="1:10" ht="15">
      <c r="A178" s="73">
        <f>Calc!Y179</f>
        <v>0</v>
      </c>
      <c r="B178" s="74">
        <f>Calc!Z179</f>
        <v>0</v>
      </c>
      <c r="C178" s="74" t="str">
        <f ca="1">Calc!AA179</f>
        <v/>
      </c>
      <c r="D178" s="75" t="str">
        <f ca="1">Calc!AB179</f>
        <v/>
      </c>
      <c r="E178" s="77" t="str">
        <f ca="1">IF(Calc!AC179&lt;&gt;"",Calc!AC179,"")</f>
        <v/>
      </c>
      <c r="F178" s="79">
        <f>Calc!AE179</f>
        <v>0</v>
      </c>
      <c r="G178" s="74">
        <f>Calc!AF179</f>
        <v>0</v>
      </c>
      <c r="H178" s="74" t="str">
        <f ca="1">Calc!AG179</f>
        <v/>
      </c>
      <c r="I178" s="75" t="str">
        <f ca="1">Calc!AH179</f>
        <v/>
      </c>
      <c r="J178" s="77" t="str">
        <f ca="1">Calc!AI179</f>
        <v/>
      </c>
    </row>
    <row r="179" spans="1:10" ht="15">
      <c r="A179" s="73">
        <f>Calc!Y180</f>
        <v>0</v>
      </c>
      <c r="B179" s="74">
        <f>Calc!Z180</f>
        <v>0</v>
      </c>
      <c r="C179" s="74" t="str">
        <f ca="1">Calc!AA180</f>
        <v/>
      </c>
      <c r="D179" s="75" t="str">
        <f ca="1">Calc!AB180</f>
        <v/>
      </c>
      <c r="E179" s="77" t="str">
        <f ca="1">IF(Calc!AC180&lt;&gt;"",Calc!AC180,"")</f>
        <v/>
      </c>
      <c r="F179" s="79">
        <f>Calc!AE180</f>
        <v>0</v>
      </c>
      <c r="G179" s="74">
        <f>Calc!AF180</f>
        <v>0</v>
      </c>
      <c r="H179" s="74" t="str">
        <f ca="1">Calc!AG180</f>
        <v/>
      </c>
      <c r="I179" s="75" t="str">
        <f ca="1">Calc!AH180</f>
        <v/>
      </c>
      <c r="J179" s="77" t="str">
        <f ca="1">Calc!AI180</f>
        <v/>
      </c>
    </row>
    <row r="180" spans="1:10" ht="15">
      <c r="A180" s="73">
        <f>Calc!Y181</f>
        <v>0</v>
      </c>
      <c r="B180" s="74">
        <f>Calc!Z181</f>
        <v>0</v>
      </c>
      <c r="C180" s="74" t="str">
        <f ca="1">Calc!AA181</f>
        <v/>
      </c>
      <c r="D180" s="75" t="str">
        <f ca="1">Calc!AB181</f>
        <v/>
      </c>
      <c r="E180" s="77" t="str">
        <f ca="1">IF(Calc!AC181&lt;&gt;"",Calc!AC181,"")</f>
        <v/>
      </c>
      <c r="F180" s="79">
        <f>Calc!AE181</f>
        <v>0</v>
      </c>
      <c r="G180" s="74">
        <f>Calc!AF181</f>
        <v>0</v>
      </c>
      <c r="H180" s="74" t="str">
        <f ca="1">Calc!AG181</f>
        <v/>
      </c>
      <c r="I180" s="75" t="str">
        <f ca="1">Calc!AH181</f>
        <v/>
      </c>
      <c r="J180" s="77" t="str">
        <f ca="1">Calc!AI181</f>
        <v/>
      </c>
    </row>
    <row r="181" spans="1:10" ht="15">
      <c r="A181" s="73">
        <f>Calc!Y182</f>
        <v>0</v>
      </c>
      <c r="B181" s="74">
        <f>Calc!Z182</f>
        <v>0</v>
      </c>
      <c r="C181" s="74" t="str">
        <f ca="1">Calc!AA182</f>
        <v/>
      </c>
      <c r="D181" s="75" t="str">
        <f ca="1">Calc!AB182</f>
        <v/>
      </c>
      <c r="E181" s="77" t="str">
        <f ca="1">IF(Calc!AC182&lt;&gt;"",Calc!AC182,"")</f>
        <v/>
      </c>
      <c r="F181" s="79">
        <f>Calc!AE182</f>
        <v>0</v>
      </c>
      <c r="G181" s="74">
        <f>Calc!AF182</f>
        <v>0</v>
      </c>
      <c r="H181" s="74" t="str">
        <f ca="1">Calc!AG182</f>
        <v/>
      </c>
      <c r="I181" s="75" t="str">
        <f ca="1">Calc!AH182</f>
        <v/>
      </c>
      <c r="J181" s="77" t="str">
        <f ca="1">Calc!AI182</f>
        <v/>
      </c>
    </row>
    <row r="182" spans="1:10" ht="15">
      <c r="A182" s="73">
        <f>Calc!Y183</f>
        <v>0</v>
      </c>
      <c r="B182" s="74">
        <f>Calc!Z183</f>
        <v>0</v>
      </c>
      <c r="C182" s="74" t="str">
        <f ca="1">Calc!AA183</f>
        <v/>
      </c>
      <c r="D182" s="75" t="str">
        <f ca="1">Calc!AB183</f>
        <v/>
      </c>
      <c r="E182" s="77" t="str">
        <f ca="1">IF(Calc!AC183&lt;&gt;"",Calc!AC183,"")</f>
        <v/>
      </c>
      <c r="F182" s="79">
        <f>Calc!AE183</f>
        <v>0</v>
      </c>
      <c r="G182" s="74">
        <f>Calc!AF183</f>
        <v>0</v>
      </c>
      <c r="H182" s="74" t="str">
        <f ca="1">Calc!AG183</f>
        <v/>
      </c>
      <c r="I182" s="75" t="str">
        <f ca="1">Calc!AH183</f>
        <v/>
      </c>
      <c r="J182" s="77" t="str">
        <f ca="1">Calc!AI183</f>
        <v/>
      </c>
    </row>
    <row r="183" spans="1:10" ht="15">
      <c r="A183" s="73">
        <f>Calc!Y184</f>
        <v>0</v>
      </c>
      <c r="B183" s="74">
        <f>Calc!Z184</f>
        <v>0</v>
      </c>
      <c r="C183" s="74" t="str">
        <f ca="1">Calc!AA184</f>
        <v/>
      </c>
      <c r="D183" s="75" t="str">
        <f ca="1">Calc!AB184</f>
        <v/>
      </c>
      <c r="E183" s="77" t="str">
        <f ca="1">IF(Calc!AC184&lt;&gt;"",Calc!AC184,"")</f>
        <v/>
      </c>
      <c r="F183" s="79">
        <f>Calc!AE184</f>
        <v>0</v>
      </c>
      <c r="G183" s="74">
        <f>Calc!AF184</f>
        <v>0</v>
      </c>
      <c r="H183" s="74" t="str">
        <f ca="1">Calc!AG184</f>
        <v/>
      </c>
      <c r="I183" s="75" t="str">
        <f ca="1">Calc!AH184</f>
        <v/>
      </c>
      <c r="J183" s="77" t="str">
        <f ca="1">Calc!AI184</f>
        <v/>
      </c>
    </row>
    <row r="184" spans="1:10" ht="15">
      <c r="A184" s="73">
        <f>Calc!Y185</f>
        <v>0</v>
      </c>
      <c r="B184" s="74">
        <f>Calc!Z185</f>
        <v>0</v>
      </c>
      <c r="C184" s="74" t="str">
        <f ca="1">Calc!AA185</f>
        <v/>
      </c>
      <c r="D184" s="75" t="str">
        <f ca="1">Calc!AB185</f>
        <v/>
      </c>
      <c r="E184" s="77" t="str">
        <f ca="1">IF(Calc!AC185&lt;&gt;"",Calc!AC185,"")</f>
        <v/>
      </c>
      <c r="F184" s="79">
        <f>Calc!AE185</f>
        <v>0</v>
      </c>
      <c r="G184" s="74">
        <f>Calc!AF185</f>
        <v>0</v>
      </c>
      <c r="H184" s="74" t="str">
        <f ca="1">Calc!AG185</f>
        <v/>
      </c>
      <c r="I184" s="75" t="str">
        <f ca="1">Calc!AH185</f>
        <v/>
      </c>
      <c r="J184" s="77" t="str">
        <f ca="1">Calc!AI185</f>
        <v/>
      </c>
    </row>
    <row r="185" spans="1:10" ht="15">
      <c r="A185" s="73">
        <f>Calc!Y186</f>
        <v>0</v>
      </c>
      <c r="B185" s="74">
        <f>Calc!Z186</f>
        <v>0</v>
      </c>
      <c r="C185" s="74" t="str">
        <f ca="1">Calc!AA186</f>
        <v/>
      </c>
      <c r="D185" s="75" t="str">
        <f ca="1">Calc!AB186</f>
        <v/>
      </c>
      <c r="E185" s="77" t="str">
        <f ca="1">IF(Calc!AC186&lt;&gt;"",Calc!AC186,"")</f>
        <v/>
      </c>
      <c r="F185" s="79">
        <f>Calc!AE186</f>
        <v>0</v>
      </c>
      <c r="G185" s="74">
        <f>Calc!AF186</f>
        <v>0</v>
      </c>
      <c r="H185" s="74" t="str">
        <f ca="1">Calc!AG186</f>
        <v/>
      </c>
      <c r="I185" s="75" t="str">
        <f ca="1">Calc!AH186</f>
        <v/>
      </c>
      <c r="J185" s="77" t="str">
        <f ca="1">Calc!AI186</f>
        <v/>
      </c>
    </row>
    <row r="186" spans="1:10" ht="15">
      <c r="A186" s="73">
        <f>Calc!Y187</f>
        <v>0</v>
      </c>
      <c r="B186" s="74">
        <f>Calc!Z187</f>
        <v>0</v>
      </c>
      <c r="C186" s="74" t="str">
        <f ca="1">Calc!AA187</f>
        <v/>
      </c>
      <c r="D186" s="75" t="str">
        <f ca="1">Calc!AB187</f>
        <v/>
      </c>
      <c r="E186" s="77" t="str">
        <f ca="1">IF(Calc!AC187&lt;&gt;"",Calc!AC187,"")</f>
        <v/>
      </c>
      <c r="F186" s="79">
        <f>Calc!AE187</f>
        <v>0</v>
      </c>
      <c r="G186" s="74">
        <f>Calc!AF187</f>
        <v>0</v>
      </c>
      <c r="H186" s="74" t="str">
        <f ca="1">Calc!AG187</f>
        <v/>
      </c>
      <c r="I186" s="75" t="str">
        <f ca="1">Calc!AH187</f>
        <v/>
      </c>
      <c r="J186" s="77" t="str">
        <f ca="1">Calc!AI187</f>
        <v/>
      </c>
    </row>
    <row r="187" spans="1:10" ht="15">
      <c r="A187" s="73">
        <f>Calc!Y188</f>
        <v>0</v>
      </c>
      <c r="B187" s="74">
        <f>Calc!Z188</f>
        <v>0</v>
      </c>
      <c r="C187" s="74" t="str">
        <f ca="1">Calc!AA188</f>
        <v/>
      </c>
      <c r="D187" s="75" t="str">
        <f ca="1">Calc!AB188</f>
        <v/>
      </c>
      <c r="E187" s="77" t="str">
        <f ca="1">IF(Calc!AC188&lt;&gt;"",Calc!AC188,"")</f>
        <v/>
      </c>
      <c r="F187" s="79">
        <f>Calc!AE188</f>
        <v>0</v>
      </c>
      <c r="G187" s="74">
        <f>Calc!AF188</f>
        <v>0</v>
      </c>
      <c r="H187" s="74" t="str">
        <f ca="1">Calc!AG188</f>
        <v/>
      </c>
      <c r="I187" s="75" t="str">
        <f ca="1">Calc!AH188</f>
        <v/>
      </c>
      <c r="J187" s="77" t="str">
        <f ca="1">Calc!AI188</f>
        <v/>
      </c>
    </row>
    <row r="188" spans="1:10" ht="15">
      <c r="A188" s="73">
        <f>Calc!Y189</f>
        <v>0</v>
      </c>
      <c r="B188" s="74">
        <f>Calc!Z189</f>
        <v>0</v>
      </c>
      <c r="C188" s="74" t="str">
        <f ca="1">Calc!AA189</f>
        <v/>
      </c>
      <c r="D188" s="75" t="str">
        <f ca="1">Calc!AB189</f>
        <v/>
      </c>
      <c r="E188" s="77" t="str">
        <f ca="1">IF(Calc!AC189&lt;&gt;"",Calc!AC189,"")</f>
        <v/>
      </c>
      <c r="F188" s="79">
        <f>Calc!AE189</f>
        <v>0</v>
      </c>
      <c r="G188" s="74">
        <f>Calc!AF189</f>
        <v>0</v>
      </c>
      <c r="H188" s="74" t="str">
        <f ca="1">Calc!AG189</f>
        <v/>
      </c>
      <c r="I188" s="75" t="str">
        <f ca="1">Calc!AH189</f>
        <v/>
      </c>
      <c r="J188" s="77" t="str">
        <f ca="1">Calc!AI189</f>
        <v/>
      </c>
    </row>
    <row r="189" spans="1:10" ht="15">
      <c r="A189" s="73">
        <f>Calc!Y190</f>
        <v>0</v>
      </c>
      <c r="B189" s="74">
        <f>Calc!Z190</f>
        <v>0</v>
      </c>
      <c r="C189" s="74" t="str">
        <f ca="1">Calc!AA190</f>
        <v/>
      </c>
      <c r="D189" s="75" t="str">
        <f ca="1">Calc!AB190</f>
        <v/>
      </c>
      <c r="E189" s="77" t="str">
        <f ca="1">IF(Calc!AC190&lt;&gt;"",Calc!AC190,"")</f>
        <v/>
      </c>
      <c r="F189" s="79">
        <f>Calc!AE190</f>
        <v>0</v>
      </c>
      <c r="G189" s="74">
        <f>Calc!AF190</f>
        <v>0</v>
      </c>
      <c r="H189" s="74" t="str">
        <f ca="1">Calc!AG190</f>
        <v/>
      </c>
      <c r="I189" s="75" t="str">
        <f ca="1">Calc!AH190</f>
        <v/>
      </c>
      <c r="J189" s="77" t="str">
        <f ca="1">Calc!AI190</f>
        <v/>
      </c>
    </row>
    <row r="190" spans="1:10" ht="15">
      <c r="A190" s="73">
        <f>Calc!Y191</f>
        <v>0</v>
      </c>
      <c r="B190" s="74">
        <f>Calc!Z191</f>
        <v>0</v>
      </c>
      <c r="C190" s="74" t="str">
        <f ca="1">Calc!AA191</f>
        <v/>
      </c>
      <c r="D190" s="75" t="str">
        <f ca="1">Calc!AB191</f>
        <v/>
      </c>
      <c r="E190" s="77" t="str">
        <f ca="1">IF(Calc!AC191&lt;&gt;"",Calc!AC191,"")</f>
        <v/>
      </c>
      <c r="F190" s="79">
        <f>Calc!AE191</f>
        <v>0</v>
      </c>
      <c r="G190" s="74">
        <f>Calc!AF191</f>
        <v>0</v>
      </c>
      <c r="H190" s="74" t="str">
        <f ca="1">Calc!AG191</f>
        <v/>
      </c>
      <c r="I190" s="75" t="str">
        <f ca="1">Calc!AH191</f>
        <v/>
      </c>
      <c r="J190" s="77" t="str">
        <f ca="1">Calc!AI191</f>
        <v/>
      </c>
    </row>
    <row r="191" spans="1:10" ht="15">
      <c r="A191" s="73">
        <f>Calc!Y192</f>
        <v>0</v>
      </c>
      <c r="B191" s="74">
        <f>Calc!Z192</f>
        <v>0</v>
      </c>
      <c r="C191" s="74" t="str">
        <f ca="1">Calc!AA192</f>
        <v/>
      </c>
      <c r="D191" s="75" t="str">
        <f ca="1">Calc!AB192</f>
        <v/>
      </c>
      <c r="E191" s="77" t="str">
        <f ca="1">IF(Calc!AC192&lt;&gt;"",Calc!AC192,"")</f>
        <v/>
      </c>
      <c r="F191" s="79">
        <f>Calc!AE192</f>
        <v>0</v>
      </c>
      <c r="G191" s="74">
        <f>Calc!AF192</f>
        <v>0</v>
      </c>
      <c r="H191" s="74" t="str">
        <f ca="1">Calc!AG192</f>
        <v/>
      </c>
      <c r="I191" s="75" t="str">
        <f ca="1">Calc!AH192</f>
        <v/>
      </c>
      <c r="J191" s="77" t="str">
        <f ca="1">Calc!AI192</f>
        <v/>
      </c>
    </row>
    <row r="192" spans="1:10" ht="15">
      <c r="A192" s="73">
        <f>Calc!Y193</f>
        <v>0</v>
      </c>
      <c r="B192" s="74">
        <f>Calc!Z193</f>
        <v>0</v>
      </c>
      <c r="C192" s="74" t="str">
        <f ca="1">Calc!AA193</f>
        <v/>
      </c>
      <c r="D192" s="75" t="str">
        <f ca="1">Calc!AB193</f>
        <v/>
      </c>
      <c r="E192" s="77" t="str">
        <f ca="1">IF(Calc!AC193&lt;&gt;"",Calc!AC193,"")</f>
        <v/>
      </c>
      <c r="F192" s="79">
        <f>Calc!AE193</f>
        <v>0</v>
      </c>
      <c r="G192" s="74">
        <f>Calc!AF193</f>
        <v>0</v>
      </c>
      <c r="H192" s="74" t="str">
        <f ca="1">Calc!AG193</f>
        <v/>
      </c>
      <c r="I192" s="75" t="str">
        <f ca="1">Calc!AH193</f>
        <v/>
      </c>
      <c r="J192" s="77" t="str">
        <f ca="1">Calc!AI193</f>
        <v/>
      </c>
    </row>
    <row r="193" spans="1:10" ht="15">
      <c r="A193" s="73">
        <f>Calc!Y194</f>
        <v>0</v>
      </c>
      <c r="B193" s="74">
        <f>Calc!Z194</f>
        <v>0</v>
      </c>
      <c r="C193" s="74" t="str">
        <f ca="1">Calc!AA194</f>
        <v/>
      </c>
      <c r="D193" s="75" t="str">
        <f ca="1">Calc!AB194</f>
        <v/>
      </c>
      <c r="E193" s="77" t="str">
        <f ca="1">IF(Calc!AC194&lt;&gt;"",Calc!AC194,"")</f>
        <v/>
      </c>
      <c r="F193" s="79">
        <f>Calc!AE194</f>
        <v>0</v>
      </c>
      <c r="G193" s="74">
        <f>Calc!AF194</f>
        <v>0</v>
      </c>
      <c r="H193" s="74" t="str">
        <f ca="1">Calc!AG194</f>
        <v/>
      </c>
      <c r="I193" s="75" t="str">
        <f ca="1">Calc!AH194</f>
        <v/>
      </c>
      <c r="J193" s="77" t="str">
        <f ca="1">Calc!AI194</f>
        <v/>
      </c>
    </row>
    <row r="194" spans="1:10" ht="15">
      <c r="A194" s="73">
        <f>Calc!Y195</f>
        <v>0</v>
      </c>
      <c r="B194" s="74">
        <f>Calc!Z195</f>
        <v>0</v>
      </c>
      <c r="C194" s="74" t="str">
        <f ca="1">Calc!AA195</f>
        <v/>
      </c>
      <c r="D194" s="75" t="str">
        <f ca="1">Calc!AB195</f>
        <v/>
      </c>
      <c r="E194" s="77" t="str">
        <f ca="1">IF(Calc!AC195&lt;&gt;"",Calc!AC195,"")</f>
        <v/>
      </c>
      <c r="F194" s="79">
        <f>Calc!AE195</f>
        <v>0</v>
      </c>
      <c r="G194" s="74">
        <f>Calc!AF195</f>
        <v>0</v>
      </c>
      <c r="H194" s="74" t="str">
        <f ca="1">Calc!AG195</f>
        <v/>
      </c>
      <c r="I194" s="75" t="str">
        <f ca="1">Calc!AH195</f>
        <v/>
      </c>
      <c r="J194" s="77" t="str">
        <f ca="1">Calc!AI195</f>
        <v/>
      </c>
    </row>
    <row r="195" spans="1:10" ht="15">
      <c r="A195" s="73">
        <f>Calc!Y196</f>
        <v>0</v>
      </c>
      <c r="B195" s="74">
        <f>Calc!Z196</f>
        <v>0</v>
      </c>
      <c r="C195" s="74" t="str">
        <f ca="1">Calc!AA196</f>
        <v/>
      </c>
      <c r="D195" s="75" t="str">
        <f ca="1">Calc!AB196</f>
        <v/>
      </c>
      <c r="E195" s="77" t="str">
        <f ca="1">IF(Calc!AC196&lt;&gt;"",Calc!AC196,"")</f>
        <v/>
      </c>
      <c r="F195" s="79">
        <f>Calc!AE196</f>
        <v>0</v>
      </c>
      <c r="G195" s="74">
        <f>Calc!AF196</f>
        <v>0</v>
      </c>
      <c r="H195" s="74" t="str">
        <f ca="1">Calc!AG196</f>
        <v/>
      </c>
      <c r="I195" s="75" t="str">
        <f ca="1">Calc!AH196</f>
        <v/>
      </c>
      <c r="J195" s="77" t="str">
        <f ca="1">Calc!AI196</f>
        <v/>
      </c>
    </row>
    <row r="196" spans="1:10" ht="15">
      <c r="A196" s="73">
        <f>Calc!Y197</f>
        <v>0</v>
      </c>
      <c r="B196" s="74">
        <f>Calc!Z197</f>
        <v>0</v>
      </c>
      <c r="C196" s="74" t="str">
        <f ca="1">Calc!AA197</f>
        <v/>
      </c>
      <c r="D196" s="75" t="str">
        <f ca="1">Calc!AB197</f>
        <v/>
      </c>
      <c r="E196" s="77" t="str">
        <f ca="1">IF(Calc!AC197&lt;&gt;"",Calc!AC197,"")</f>
        <v/>
      </c>
      <c r="F196" s="79">
        <f>Calc!AE197</f>
        <v>0</v>
      </c>
      <c r="G196" s="74">
        <f>Calc!AF197</f>
        <v>0</v>
      </c>
      <c r="H196" s="74" t="str">
        <f ca="1">Calc!AG197</f>
        <v/>
      </c>
      <c r="I196" s="75" t="str">
        <f ca="1">Calc!AH197</f>
        <v/>
      </c>
      <c r="J196" s="77" t="str">
        <f ca="1">Calc!AI197</f>
        <v/>
      </c>
    </row>
    <row r="197" spans="1:10" ht="15">
      <c r="A197" s="73">
        <f>Calc!Y198</f>
        <v>0</v>
      </c>
      <c r="B197" s="74">
        <f>Calc!Z198</f>
        <v>0</v>
      </c>
      <c r="C197" s="74" t="str">
        <f ca="1">Calc!AA198</f>
        <v/>
      </c>
      <c r="D197" s="75" t="str">
        <f ca="1">Calc!AB198</f>
        <v/>
      </c>
      <c r="E197" s="77" t="str">
        <f ca="1">IF(Calc!AC198&lt;&gt;"",Calc!AC198,"")</f>
        <v/>
      </c>
      <c r="F197" s="79">
        <f>Calc!AE198</f>
        <v>0</v>
      </c>
      <c r="G197" s="74">
        <f>Calc!AF198</f>
        <v>0</v>
      </c>
      <c r="H197" s="74" t="str">
        <f ca="1">Calc!AG198</f>
        <v/>
      </c>
      <c r="I197" s="75" t="str">
        <f ca="1">Calc!AH198</f>
        <v/>
      </c>
      <c r="J197" s="77" t="str">
        <f ca="1">Calc!AI198</f>
        <v/>
      </c>
    </row>
    <row r="198" spans="1:10" ht="15">
      <c r="A198" s="73">
        <f>Calc!Y199</f>
        <v>0</v>
      </c>
      <c r="B198" s="74">
        <f>Calc!Z199</f>
        <v>0</v>
      </c>
      <c r="C198" s="74" t="str">
        <f ca="1">Calc!AA199</f>
        <v/>
      </c>
      <c r="D198" s="75" t="str">
        <f ca="1">Calc!AB199</f>
        <v/>
      </c>
      <c r="E198" s="77" t="str">
        <f ca="1">IF(Calc!AC199&lt;&gt;"",Calc!AC199,"")</f>
        <v/>
      </c>
      <c r="F198" s="79">
        <f>Calc!AE199</f>
        <v>0</v>
      </c>
      <c r="G198" s="74">
        <f>Calc!AF199</f>
        <v>0</v>
      </c>
      <c r="H198" s="74" t="str">
        <f ca="1">Calc!AG199</f>
        <v/>
      </c>
      <c r="I198" s="75" t="str">
        <f ca="1">Calc!AH199</f>
        <v/>
      </c>
      <c r="J198" s="77" t="str">
        <f ca="1">Calc!AI199</f>
        <v/>
      </c>
    </row>
    <row r="199" spans="1:10" ht="15">
      <c r="A199" s="73">
        <f>Calc!Y200</f>
        <v>0</v>
      </c>
      <c r="B199" s="74">
        <f>Calc!Z200</f>
        <v>0</v>
      </c>
      <c r="C199" s="74" t="str">
        <f ca="1">Calc!AA200</f>
        <v/>
      </c>
      <c r="D199" s="75" t="str">
        <f ca="1">Calc!AB200</f>
        <v/>
      </c>
      <c r="E199" s="77" t="str">
        <f ca="1">IF(Calc!AC200&lt;&gt;"",Calc!AC200,"")</f>
        <v/>
      </c>
      <c r="F199" s="79">
        <f>Calc!AE200</f>
        <v>0</v>
      </c>
      <c r="G199" s="74">
        <f>Calc!AF200</f>
        <v>0</v>
      </c>
      <c r="H199" s="74" t="str">
        <f ca="1">Calc!AG200</f>
        <v/>
      </c>
      <c r="I199" s="75" t="str">
        <f ca="1">Calc!AH200</f>
        <v/>
      </c>
      <c r="J199" s="77" t="str">
        <f ca="1">Calc!AI200</f>
        <v/>
      </c>
    </row>
    <row r="200" spans="1:10" ht="15">
      <c r="A200" s="73">
        <f>Calc!Y201</f>
        <v>0</v>
      </c>
      <c r="B200" s="74">
        <f>Calc!Z201</f>
        <v>0</v>
      </c>
      <c r="C200" s="74" t="str">
        <f ca="1">Calc!AA201</f>
        <v/>
      </c>
      <c r="D200" s="75" t="str">
        <f ca="1">Calc!AB201</f>
        <v/>
      </c>
      <c r="E200" s="77" t="str">
        <f ca="1">IF(Calc!AC201&lt;&gt;"",Calc!AC201,"")</f>
        <v/>
      </c>
      <c r="F200" s="79">
        <f>Calc!AE201</f>
        <v>0</v>
      </c>
      <c r="G200" s="74">
        <f>Calc!AF201</f>
        <v>0</v>
      </c>
      <c r="H200" s="74" t="str">
        <f ca="1">Calc!AG201</f>
        <v/>
      </c>
      <c r="I200" s="75" t="str">
        <f ca="1">Calc!AH201</f>
        <v/>
      </c>
      <c r="J200" s="77" t="str">
        <f ca="1">Calc!AI201</f>
        <v/>
      </c>
    </row>
  </sheetData>
  <sheetProtection sheet="1" formatCells="0" formatColumns="0" formatRows="0" insertColumns="0" insertHyperlinks="0"/>
  <mergeCells count="4">
    <mergeCell ref="A3:J3"/>
    <mergeCell ref="A4:E4"/>
    <mergeCell ref="F4:J4"/>
    <mergeCell ref="A1:H1"/>
  </mergeCells>
  <phoneticPr fontId="4" type="noConversion"/>
  <conditionalFormatting sqref="A6:B11 F6:G11">
    <cfRule type="cellIs" dxfId="96" priority="25" stopIfTrue="1" operator="equal">
      <formula>0</formula>
    </cfRule>
  </conditionalFormatting>
  <conditionalFormatting sqref="C6:C11">
    <cfRule type="cellIs" dxfId="95" priority="26" stopIfTrue="1" operator="equal">
      <formula>"Verlust"</formula>
    </cfRule>
    <cfRule type="cellIs" dxfId="94" priority="27" stopIfTrue="1" operator="equal">
      <formula>"Total"</formula>
    </cfRule>
  </conditionalFormatting>
  <conditionalFormatting sqref="H6:H11">
    <cfRule type="cellIs" dxfId="93" priority="28" stopIfTrue="1" operator="equal">
      <formula>"Gewinn"</formula>
    </cfRule>
    <cfRule type="cellIs" dxfId="92" priority="29" stopIfTrue="1" operator="equal">
      <formula>"Total"</formula>
    </cfRule>
  </conditionalFormatting>
  <conditionalFormatting sqref="I6:I11">
    <cfRule type="cellIs" dxfId="91" priority="30" stopIfTrue="1" operator="equal">
      <formula>"c"</formula>
    </cfRule>
  </conditionalFormatting>
  <conditionalFormatting sqref="E6:E11 J6:J11">
    <cfRule type="cellIs" dxfId="90" priority="31" stopIfTrue="1" operator="notEqual">
      <formula>""</formula>
    </cfRule>
  </conditionalFormatting>
  <conditionalFormatting sqref="D6:D11">
    <cfRule type="cellIs" dxfId="89" priority="32" stopIfTrue="1" operator="equal">
      <formula>"c"</formula>
    </cfRule>
  </conditionalFormatting>
  <conditionalFormatting sqref="A1:H1">
    <cfRule type="cellIs" dxfId="88" priority="33" stopIfTrue="1" operator="notEqual">
      <formula>""</formula>
    </cfRule>
  </conditionalFormatting>
  <conditionalFormatting sqref="A12:B102 F12:G102">
    <cfRule type="cellIs" dxfId="87" priority="17" stopIfTrue="1" operator="equal">
      <formula>0</formula>
    </cfRule>
  </conditionalFormatting>
  <conditionalFormatting sqref="C12:C102">
    <cfRule type="cellIs" dxfId="86" priority="18" stopIfTrue="1" operator="equal">
      <formula>"Verlust"</formula>
    </cfRule>
    <cfRule type="cellIs" dxfId="85" priority="19" stopIfTrue="1" operator="equal">
      <formula>"Total"</formula>
    </cfRule>
  </conditionalFormatting>
  <conditionalFormatting sqref="H12:H102">
    <cfRule type="cellIs" dxfId="84" priority="20" stopIfTrue="1" operator="equal">
      <formula>"Gewinn"</formula>
    </cfRule>
    <cfRule type="cellIs" dxfId="83" priority="21" stopIfTrue="1" operator="equal">
      <formula>"Total"</formula>
    </cfRule>
  </conditionalFormatting>
  <conditionalFormatting sqref="I12:I102">
    <cfRule type="cellIs" dxfId="82" priority="22" stopIfTrue="1" operator="equal">
      <formula>"c"</formula>
    </cfRule>
  </conditionalFormatting>
  <conditionalFormatting sqref="E12:E102 J12:J102">
    <cfRule type="cellIs" dxfId="81" priority="23" stopIfTrue="1" operator="notEqual">
      <formula>""</formula>
    </cfRule>
  </conditionalFormatting>
  <conditionalFormatting sqref="D12:D102">
    <cfRule type="cellIs" dxfId="80" priority="24" stopIfTrue="1" operator="equal">
      <formula>"c"</formula>
    </cfRule>
  </conditionalFormatting>
  <conditionalFormatting sqref="A103:B160 F103:G160">
    <cfRule type="cellIs" dxfId="79" priority="9" stopIfTrue="1" operator="equal">
      <formula>0</formula>
    </cfRule>
  </conditionalFormatting>
  <conditionalFormatting sqref="C103:C160">
    <cfRule type="cellIs" dxfId="78" priority="10" stopIfTrue="1" operator="equal">
      <formula>"Verlust"</formula>
    </cfRule>
    <cfRule type="cellIs" dxfId="77" priority="11" stopIfTrue="1" operator="equal">
      <formula>"Total"</formula>
    </cfRule>
  </conditionalFormatting>
  <conditionalFormatting sqref="H103:H160">
    <cfRule type="cellIs" dxfId="76" priority="12" stopIfTrue="1" operator="equal">
      <formula>"Gewinn"</formula>
    </cfRule>
    <cfRule type="cellIs" dxfId="75" priority="13" stopIfTrue="1" operator="equal">
      <formula>"Total"</formula>
    </cfRule>
  </conditionalFormatting>
  <conditionalFormatting sqref="I103:I160">
    <cfRule type="cellIs" dxfId="74" priority="14" stopIfTrue="1" operator="equal">
      <formula>"c"</formula>
    </cfRule>
  </conditionalFormatting>
  <conditionalFormatting sqref="E103:E160 J103:J160">
    <cfRule type="cellIs" dxfId="73" priority="15" stopIfTrue="1" operator="notEqual">
      <formula>""</formula>
    </cfRule>
  </conditionalFormatting>
  <conditionalFormatting sqref="D103:D160">
    <cfRule type="cellIs" dxfId="72" priority="16" stopIfTrue="1" operator="equal">
      <formula>"c"</formula>
    </cfRule>
  </conditionalFormatting>
  <conditionalFormatting sqref="A161:B200 F161:G200">
    <cfRule type="cellIs" dxfId="71" priority="1" stopIfTrue="1" operator="equal">
      <formula>0</formula>
    </cfRule>
  </conditionalFormatting>
  <conditionalFormatting sqref="C161:C200">
    <cfRule type="cellIs" dxfId="70" priority="2" stopIfTrue="1" operator="equal">
      <formula>"Verlust"</formula>
    </cfRule>
    <cfRule type="cellIs" dxfId="69" priority="3" stopIfTrue="1" operator="equal">
      <formula>"Total"</formula>
    </cfRule>
  </conditionalFormatting>
  <conditionalFormatting sqref="H161:H200">
    <cfRule type="cellIs" dxfId="68" priority="4" stopIfTrue="1" operator="equal">
      <formula>"Gewinn"</formula>
    </cfRule>
    <cfRule type="cellIs" dxfId="67" priority="5" stopIfTrue="1" operator="equal">
      <formula>"Total"</formula>
    </cfRule>
  </conditionalFormatting>
  <conditionalFormatting sqref="I161:I200">
    <cfRule type="cellIs" dxfId="66" priority="6" stopIfTrue="1" operator="equal">
      <formula>"c"</formula>
    </cfRule>
  </conditionalFormatting>
  <conditionalFormatting sqref="E161:E200 J161:J200">
    <cfRule type="cellIs" dxfId="65" priority="7" stopIfTrue="1" operator="notEqual">
      <formula>""</formula>
    </cfRule>
  </conditionalFormatting>
  <conditionalFormatting sqref="D161:D200">
    <cfRule type="cellIs" dxfId="64" priority="8" stopIfTrue="1" operator="equal">
      <formula>"c"</formula>
    </cfRule>
  </conditionalFormatting>
  <pageMargins left="0.59055118110236227" right="0.59055118110236227" top="0.39370078740157483" bottom="0.59055118110236227" header="0.51181102362204722" footer="0.31496062992125984"/>
  <pageSetup paperSize="9" scale="95" orientation="landscape" r:id="rId1"/>
  <headerFooter alignWithMargins="0">
    <oddFooter>&amp;L&amp;8Ausdruck vom &amp;D, &amp;T&amp;C&amp;8vereinsbuchhaltung.ch&amp;R&amp;8Seite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01"/>
  <sheetViews>
    <sheetView zoomScale="95" workbookViewId="0">
      <pane ySplit="5" topLeftCell="A6" activePane="bottomLeft" state="frozen"/>
      <selection pane="bottomLeft" activeCell="Q1" sqref="Q1"/>
    </sheetView>
  </sheetViews>
  <sheetFormatPr defaultColWidth="11.42578125" defaultRowHeight="12.75"/>
  <cols>
    <col min="1" max="1" width="15" customWidth="1"/>
    <col min="2" max="2" width="6.42578125" customWidth="1"/>
    <col min="3" max="3" width="25.7109375" customWidth="1"/>
    <col min="4" max="6" width="11.5703125" customWidth="1"/>
    <col min="7" max="7" width="8.5703125" customWidth="1"/>
    <col min="8" max="8" width="10.7109375" customWidth="1"/>
    <col min="9" max="9" width="4.42578125" customWidth="1"/>
    <col min="10" max="10" width="12.7109375" customWidth="1"/>
    <col min="11" max="11" width="6.5703125" customWidth="1"/>
    <col min="12" max="12" width="27.28515625" customWidth="1"/>
    <col min="13" max="15" width="11.5703125" customWidth="1"/>
    <col min="16" max="16" width="9.140625" customWidth="1"/>
    <col min="17" max="17" width="11.28515625" customWidth="1"/>
    <col min="19" max="19" width="14" hidden="1" customWidth="1"/>
    <col min="20" max="40" width="0" hidden="1" customWidth="1"/>
  </cols>
  <sheetData>
    <row r="1" spans="1:28" ht="89.25" customHeight="1">
      <c r="A1" s="290" t="s">
        <v>273</v>
      </c>
      <c r="B1" s="291"/>
      <c r="C1" s="291"/>
      <c r="D1" s="291"/>
      <c r="E1" s="291"/>
      <c r="F1" s="291"/>
      <c r="G1" s="291"/>
      <c r="H1" s="291"/>
      <c r="I1" s="291"/>
      <c r="J1" s="291"/>
      <c r="K1" s="291"/>
      <c r="L1" s="292"/>
      <c r="O1" s="297" t="s">
        <v>274</v>
      </c>
      <c r="P1" s="247"/>
      <c r="Q1" s="235"/>
      <c r="AA1">
        <v>1</v>
      </c>
      <c r="AB1">
        <v>1.1000000000000001</v>
      </c>
    </row>
    <row r="2" spans="1:28" ht="78" customHeight="1">
      <c r="A2" s="291"/>
      <c r="B2" s="291"/>
      <c r="C2" s="291"/>
      <c r="D2" s="291"/>
      <c r="E2" s="291"/>
      <c r="F2" s="291"/>
      <c r="G2" s="291"/>
      <c r="H2" s="291"/>
      <c r="I2" s="291"/>
      <c r="J2" s="291"/>
      <c r="K2" s="291"/>
      <c r="L2" s="292"/>
      <c r="M2" s="236" t="str">
        <f ca="1">Calc!P1</f>
        <v>Status ok</v>
      </c>
      <c r="N2" s="12"/>
      <c r="O2" s="298" t="str">
        <f ca="1">CONCATENATE("Drucken: Der Ausdruck dieser Erfolgsrechnung inkl. Budget benötigt ",W199," Seiten. Bitte wählen Sie beim Ausdrucken die entsprechende Anzahl der Seiten.")</f>
        <v>Drucken: Der Ausdruck dieser Erfolgsrechnung inkl. Budget benötigt 2 Seiten. Bitte wählen Sie beim Ausdrucken die entsprechende Anzahl der Seiten.</v>
      </c>
      <c r="P2" s="299"/>
      <c r="Q2" s="299"/>
      <c r="AA2">
        <v>2</v>
      </c>
      <c r="AB2">
        <f t="shared" ref="AB2:AB8" si="0">AB1+1</f>
        <v>2.1</v>
      </c>
    </row>
    <row r="3" spans="1:28" ht="31.5" customHeight="1">
      <c r="A3" s="293" t="str">
        <f ca="1">IF(Calc!J2="",T7,IF(M2&lt;&gt;"Status ok","Achtung: Fehler vorhanden. Bitte Journal auf Fehlermeldungen prüfen.",CONCATENATE(Journal!D1,": Erfolgsrechnung und Budget für ",Q1)))</f>
        <v xml:space="preserve">Hier STWEG-Namen eingeben: Erfolgsrechnung und Budget für </v>
      </c>
      <c r="B3" s="294"/>
      <c r="C3" s="294"/>
      <c r="D3" s="294"/>
      <c r="E3" s="294"/>
      <c r="F3" s="294"/>
      <c r="G3" s="294"/>
      <c r="H3" s="294"/>
      <c r="I3" s="176"/>
      <c r="J3" s="295" t="str">
        <f ca="1">IF(Calc!J2="",T7,IF(M2&lt;&gt;"Status ok","Achtung: Fehler vorhanden. Bitte Journal auf Fehlermeldungen prüfen.",CONCATENATE(Journal!D1,": Erfolgsrechnung und Budget für ",Q1)))</f>
        <v xml:space="preserve">Hier STWEG-Namen eingeben: Erfolgsrechnung und Budget für </v>
      </c>
      <c r="K3" s="296"/>
      <c r="L3" s="296"/>
      <c r="M3" s="296"/>
      <c r="N3" s="296"/>
      <c r="O3" s="296"/>
      <c r="P3" s="296"/>
      <c r="Q3" s="296"/>
      <c r="AA3">
        <v>3</v>
      </c>
      <c r="AB3">
        <f t="shared" si="0"/>
        <v>3.1</v>
      </c>
    </row>
    <row r="4" spans="1:28" ht="15">
      <c r="A4" s="282" t="s">
        <v>271</v>
      </c>
      <c r="B4" s="282"/>
      <c r="C4" s="282"/>
      <c r="D4" s="282"/>
      <c r="E4" s="282"/>
      <c r="F4" s="282"/>
      <c r="G4" s="282"/>
      <c r="H4" s="282"/>
      <c r="I4" s="177"/>
      <c r="J4" s="282" t="s">
        <v>272</v>
      </c>
      <c r="K4" s="282"/>
      <c r="L4" s="282"/>
      <c r="M4" s="282"/>
      <c r="N4" s="282"/>
      <c r="O4" s="282"/>
      <c r="P4" s="282"/>
      <c r="Q4" s="282"/>
      <c r="R4" s="12"/>
      <c r="AA4">
        <v>4</v>
      </c>
      <c r="AB4">
        <f t="shared" si="0"/>
        <v>4.0999999999999996</v>
      </c>
    </row>
    <row r="5" spans="1:28" s="1" customFormat="1" ht="30.75" customHeight="1">
      <c r="A5" s="119" t="s">
        <v>81</v>
      </c>
      <c r="B5" s="119" t="s">
        <v>275</v>
      </c>
      <c r="C5" s="119" t="s">
        <v>83</v>
      </c>
      <c r="D5" s="119" t="s">
        <v>276</v>
      </c>
      <c r="E5" s="119" t="str">
        <f>CONCATENATE("Budget ",Journal!D2)</f>
        <v>Budget 20xx</v>
      </c>
      <c r="F5" s="124" t="str">
        <f>CONCATENATE("Ist ",Journal!D2)</f>
        <v>Ist 20xx</v>
      </c>
      <c r="G5" s="168" t="s">
        <v>277</v>
      </c>
      <c r="H5" s="125" t="str">
        <f>CONCATENATE("Budget ",Q1)</f>
        <v xml:space="preserve">Budget </v>
      </c>
      <c r="I5" s="119"/>
      <c r="J5" s="174" t="s">
        <v>81</v>
      </c>
      <c r="K5" s="119" t="s">
        <v>275</v>
      </c>
      <c r="L5" s="119" t="s">
        <v>83</v>
      </c>
      <c r="M5" s="119" t="str">
        <f>D5</f>
        <v>Ist Vorjahr</v>
      </c>
      <c r="N5" s="125" t="str">
        <f>E5</f>
        <v>Budget 20xx</v>
      </c>
      <c r="O5" s="125" t="str">
        <f>F5</f>
        <v>Ist 20xx</v>
      </c>
      <c r="P5" s="125" t="str">
        <f>G5</f>
        <v>+/- Ist/ Budget</v>
      </c>
      <c r="Q5" s="125" t="str">
        <f>H5</f>
        <v xml:space="preserve">Budget </v>
      </c>
      <c r="R5" s="201"/>
      <c r="S5" s="201"/>
      <c r="T5" s="201"/>
      <c r="U5" s="201"/>
      <c r="V5" s="201"/>
      <c r="W5" s="201"/>
      <c r="X5" s="201"/>
      <c r="Y5" s="201"/>
      <c r="Z5" s="201"/>
      <c r="AA5">
        <v>5</v>
      </c>
      <c r="AB5">
        <f t="shared" si="0"/>
        <v>5.0999999999999996</v>
      </c>
    </row>
    <row r="6" spans="1:28" ht="14.25" customHeight="1">
      <c r="A6" s="121" t="str">
        <f>Calc!Y7</f>
        <v>Aufwände nach Verbrauch</v>
      </c>
      <c r="B6" s="122">
        <f>Calc!Z7</f>
        <v>0</v>
      </c>
      <c r="C6" s="122" t="str">
        <f ca="1">IF(Calc!AA7="Verlust","eventueller Gewinn",Calc!AA7)</f>
        <v/>
      </c>
      <c r="D6" s="117"/>
      <c r="E6" s="117" t="str">
        <f ca="1">IF(C6="Total",SUM(E5:E$6)+0.0001,"")</f>
        <v/>
      </c>
      <c r="F6" s="75">
        <f ca="1">IF(C6="Total",SUM(F$5:F5)+0.0001,Calc!AB7)</f>
        <v>0</v>
      </c>
      <c r="G6" s="167" t="str">
        <f t="shared" ref="G6:G70" ca="1" si="1">IF(E6&lt;&gt;"",(F6-E6)/E6,"")</f>
        <v/>
      </c>
      <c r="H6" s="173" t="str">
        <f ca="1">IF(C6="Total",SUM(H5:H$6)+0.0001,"")</f>
        <v/>
      </c>
      <c r="I6" s="178"/>
      <c r="J6" s="175" t="str">
        <f>Calc!AE7</f>
        <v>Ertrag</v>
      </c>
      <c r="K6" s="122">
        <f>Calc!AF7</f>
        <v>0</v>
      </c>
      <c r="L6" s="122" t="str">
        <f ca="1">IF(Calc!AG7="Gewinn","eventueller Verlust",Calc!AG7)</f>
        <v/>
      </c>
      <c r="M6" s="117" t="str">
        <f ca="1">IF(L6="Total",SUM(M5:M$6)+0.0001,"")</f>
        <v/>
      </c>
      <c r="N6" s="117" t="str">
        <f ca="1">IF(L6="Total",SUM(N5:N$6)+0.0001,"")</f>
        <v/>
      </c>
      <c r="O6" s="75">
        <f ca="1">IF(L6="Total",SUM(O5:O$6)+0.0001,Calc!AH7)</f>
        <v>0</v>
      </c>
      <c r="P6" s="167" t="str">
        <f t="shared" ref="P6:P69" ca="1" si="2">IF(N6&lt;&gt;"",(O6-N6)/N6,"")</f>
        <v/>
      </c>
      <c r="Q6" s="117" t="str">
        <f ca="1">IF(L6="Total",SUM(Q5:Q$6)+0.0001,"")</f>
        <v/>
      </c>
      <c r="T6" s="200" t="s">
        <v>228</v>
      </c>
      <c r="V6">
        <v>1</v>
      </c>
      <c r="W6">
        <f ca="1">IF(C6="Total",V6,0)</f>
        <v>0</v>
      </c>
      <c r="AA6">
        <v>6</v>
      </c>
      <c r="AB6">
        <f t="shared" si="0"/>
        <v>6.1</v>
      </c>
    </row>
    <row r="7" spans="1:28" ht="15">
      <c r="A7" s="123" t="str">
        <f>Calc!Y8</f>
        <v/>
      </c>
      <c r="B7" s="122">
        <f>Calc!Z8</f>
        <v>3000</v>
      </c>
      <c r="C7" s="122" t="str">
        <f ca="1">IF(Calc!AA8="Verlust","eventueller Gewinn",Calc!AA8)</f>
        <v xml:space="preserve">Heizung: Strom </v>
      </c>
      <c r="D7" s="117" t="str">
        <f ca="1">IF(C7="Total",SUM(D$6:D6)+0.0001,"")</f>
        <v/>
      </c>
      <c r="E7" s="117" t="str">
        <f ca="1">IF(C7="Total",SUM(E$6:E6)+0.0001,"")</f>
        <v/>
      </c>
      <c r="F7" s="75">
        <f ca="1">IF(C7="Total",SUM(F$5:F6)+0.0001,Calc!AB8)</f>
        <v>0</v>
      </c>
      <c r="G7" s="167" t="str">
        <f t="shared" ca="1" si="1"/>
        <v/>
      </c>
      <c r="H7" s="173" t="str">
        <f ca="1">IF(C7="Total",SUM(H$6:H6)+0.0001,"")</f>
        <v/>
      </c>
      <c r="I7" s="178"/>
      <c r="J7" s="175" t="str">
        <f>Calc!AE8</f>
        <v>Akkontozahlungen</v>
      </c>
      <c r="K7" s="122">
        <f>Calc!AF8</f>
        <v>0</v>
      </c>
      <c r="L7" s="122" t="str">
        <f ca="1">IF(Calc!AG8="Gewinn","eventueller Verlust",Calc!AG8)</f>
        <v/>
      </c>
      <c r="M7" s="117" t="str">
        <f ca="1">IF(L7="Total",SUM(M$6:M6)+0.0001,"")</f>
        <v/>
      </c>
      <c r="N7" s="117" t="str">
        <f ca="1">IF(L7="Total",SUM(N$6:N6)+0.0001,"")</f>
        <v/>
      </c>
      <c r="O7" s="75">
        <f ca="1">IF(L7="Total",SUM(O$6:O6)+0.0001,Calc!AH8)</f>
        <v>0</v>
      </c>
      <c r="P7" s="167" t="str">
        <f t="shared" ca="1" si="2"/>
        <v/>
      </c>
      <c r="Q7" s="117" t="str">
        <f ca="1">IF(L7="Total",SUM(Q$6:Q6)+0.0001,"")</f>
        <v/>
      </c>
      <c r="T7" s="200" t="s">
        <v>265</v>
      </c>
      <c r="V7">
        <v>1</v>
      </c>
      <c r="W7">
        <f t="shared" ref="W7:W70" ca="1" si="3">IF(C7="Total",V7,0)</f>
        <v>0</v>
      </c>
      <c r="AA7">
        <v>7</v>
      </c>
      <c r="AB7">
        <f t="shared" si="0"/>
        <v>7.1</v>
      </c>
    </row>
    <row r="8" spans="1:28" ht="15">
      <c r="A8" s="123" t="str">
        <f>Calc!Y9</f>
        <v/>
      </c>
      <c r="B8" s="122">
        <f>Calc!Z9</f>
        <v>3020</v>
      </c>
      <c r="C8" s="122" t="str">
        <f ca="1">IF(Calc!AA9="Verlust","eventueller Gewinn",Calc!AA9)</f>
        <v>Aufwand 2 nach Verbrauch</v>
      </c>
      <c r="D8" s="117" t="str">
        <f ca="1">IF(C8="Total",SUM(D$6:D7)+0.0001,"")</f>
        <v/>
      </c>
      <c r="E8" s="117" t="str">
        <f ca="1">IF(C8="Total",SUM(E$6:E7)+0.0001,"")</f>
        <v/>
      </c>
      <c r="F8" s="75">
        <f ca="1">IF(C8="Total",SUM(F$5:F7)+0.0001,Calc!AB9)</f>
        <v>0</v>
      </c>
      <c r="G8" s="167" t="str">
        <f t="shared" ca="1" si="1"/>
        <v/>
      </c>
      <c r="H8" s="173" t="str">
        <f ca="1">IF(C8="Total",SUM(H$6:H7)+0.0001,"")</f>
        <v/>
      </c>
      <c r="I8" s="178"/>
      <c r="J8" s="175" t="str">
        <f>Calc!AE9</f>
        <v/>
      </c>
      <c r="K8" s="122">
        <f>Calc!AF9</f>
        <v>5010</v>
      </c>
      <c r="L8" s="122" t="str">
        <f ca="1">IF(Calc!AG9="Gewinn","eventueller Verlust",Calc!AG9)</f>
        <v>NK-Akkontozhlg: Partei 1</v>
      </c>
      <c r="M8" s="117" t="str">
        <f ca="1">IF(L8="Total",SUM(M$6:M7)+0.0001,"")</f>
        <v/>
      </c>
      <c r="N8" s="117" t="str">
        <f ca="1">IF(L8="Total",SUM(N$6:N7)+0.0001,"")</f>
        <v/>
      </c>
      <c r="O8" s="75">
        <f ca="1">IF(L8="Total",SUM(O$6:O7)+0.0001,Calc!AH9)</f>
        <v>0</v>
      </c>
      <c r="P8" s="167" t="str">
        <f t="shared" ca="1" si="2"/>
        <v/>
      </c>
      <c r="Q8" s="117" t="str">
        <f ca="1">IF(L8="Total",SUM(Q$6:Q7)+0.0001,"")</f>
        <v/>
      </c>
      <c r="T8" t="s">
        <v>266</v>
      </c>
      <c r="V8">
        <v>1</v>
      </c>
      <c r="W8">
        <f t="shared" ca="1" si="3"/>
        <v>0</v>
      </c>
      <c r="AA8">
        <v>8</v>
      </c>
      <c r="AB8">
        <f t="shared" si="0"/>
        <v>8.1</v>
      </c>
    </row>
    <row r="9" spans="1:28" ht="15">
      <c r="A9" s="123" t="str">
        <f>Calc!Y10</f>
        <v/>
      </c>
      <c r="B9" s="122">
        <f>Calc!Z10</f>
        <v>3040</v>
      </c>
      <c r="C9" s="122" t="str">
        <f ca="1">IF(Calc!AA10="Verlust","eventueller Gewinn",Calc!AA10)</f>
        <v>Aufwand 3 nach Verbrauch</v>
      </c>
      <c r="D9" s="117" t="str">
        <f ca="1">IF(C9="Total",SUM(D$6:D8)+0.0001,"")</f>
        <v/>
      </c>
      <c r="E9" s="117" t="str">
        <f ca="1">IF(C9="Total",SUM(E$6:E8)+0.0001,"")</f>
        <v/>
      </c>
      <c r="F9" s="75">
        <f ca="1">IF(C9="Total",SUM(F$5:F8)+0.0001,Calc!AB10)</f>
        <v>0</v>
      </c>
      <c r="G9" s="167" t="str">
        <f t="shared" ca="1" si="1"/>
        <v/>
      </c>
      <c r="H9" s="173" t="str">
        <f ca="1">IF(C9="Total",SUM(H$6:H8)+0.0001,"")</f>
        <v/>
      </c>
      <c r="I9" s="178"/>
      <c r="J9" s="175" t="str">
        <f>Calc!AE10</f>
        <v/>
      </c>
      <c r="K9" s="122">
        <f>Calc!AF10</f>
        <v>5020</v>
      </c>
      <c r="L9" s="122" t="str">
        <f ca="1">IF(Calc!AG10="Gewinn","eventueller Verlust",Calc!AG10)</f>
        <v>NK-Akkontozhlg: Partei 2</v>
      </c>
      <c r="M9" s="117" t="str">
        <f ca="1">IF(L9="Total",SUM(M$6:M8)+0.0001,"")</f>
        <v/>
      </c>
      <c r="N9" s="117" t="str">
        <f ca="1">IF(L9="Total",SUM(N$6:N8)+0.0001,"")</f>
        <v/>
      </c>
      <c r="O9" s="75">
        <f ca="1">IF(L9="Total",SUM(O$6:O8)+0.0001,Calc!AH10)</f>
        <v>0</v>
      </c>
      <c r="P9" s="167" t="str">
        <f t="shared" ca="1" si="2"/>
        <v/>
      </c>
      <c r="Q9" s="117" t="str">
        <f ca="1">IF(L9="Total",SUM(Q$6:Q8)+0.0001,"")</f>
        <v/>
      </c>
      <c r="V9">
        <v>1</v>
      </c>
      <c r="W9">
        <f t="shared" ca="1" si="3"/>
        <v>0</v>
      </c>
    </row>
    <row r="10" spans="1:28" ht="15">
      <c r="A10" s="123" t="str">
        <f>Calc!Y11</f>
        <v>Energie + Wasser nach Wertquoten</v>
      </c>
      <c r="B10" s="122">
        <f>Calc!Z11</f>
        <v>0</v>
      </c>
      <c r="C10" s="122" t="str">
        <f ca="1">IF(Calc!AA11="Verlust","eventueller Gewinn",Calc!AA11)</f>
        <v/>
      </c>
      <c r="D10" s="117" t="str">
        <f ca="1">IF(C10="Total",SUM(D$6:D9)+0.0001,"")</f>
        <v/>
      </c>
      <c r="E10" s="117" t="str">
        <f ca="1">IF(C10="Total",SUM(E$6:E9)+0.0001,"")</f>
        <v/>
      </c>
      <c r="F10" s="75">
        <f ca="1">IF(C10="Total",SUM(F$5:F9)+0.0001,Calc!AB11)</f>
        <v>0</v>
      </c>
      <c r="G10" s="167" t="str">
        <f t="shared" ca="1" si="1"/>
        <v/>
      </c>
      <c r="H10" s="173" t="str">
        <f ca="1">IF(C10="Total",SUM(H$6:H9)+0.0001,"")</f>
        <v/>
      </c>
      <c r="I10" s="178"/>
      <c r="J10" s="175" t="str">
        <f>Calc!AE11</f>
        <v/>
      </c>
      <c r="K10" s="122">
        <f>Calc!AF11</f>
        <v>5030</v>
      </c>
      <c r="L10" s="122" t="str">
        <f ca="1">IF(Calc!AG11="Gewinn","eventueller Verlust",Calc!AG11)</f>
        <v>NK-Akkontozhlg: Partei 3</v>
      </c>
      <c r="M10" s="117" t="str">
        <f ca="1">IF(L10="Total",SUM(M$6:M9)+0.0001,"")</f>
        <v/>
      </c>
      <c r="N10" s="117" t="str">
        <f ca="1">IF(L10="Total",SUM(N$6:N9)+0.0001,"")</f>
        <v/>
      </c>
      <c r="O10" s="75">
        <f ca="1">IF(L10="Total",SUM(O$6:O9)+0.0001,Calc!AH11)</f>
        <v>0</v>
      </c>
      <c r="P10" s="167" t="str">
        <f t="shared" ca="1" si="2"/>
        <v/>
      </c>
      <c r="Q10" s="117" t="str">
        <f ca="1">IF(L10="Total",SUM(Q$6:Q9)+0.0001,"")</f>
        <v/>
      </c>
      <c r="V10">
        <v>1</v>
      </c>
      <c r="W10">
        <f t="shared" ca="1" si="3"/>
        <v>0</v>
      </c>
    </row>
    <row r="11" spans="1:28" ht="15">
      <c r="A11" s="123" t="str">
        <f>Calc!Y12</f>
        <v/>
      </c>
      <c r="B11" s="122">
        <f>Calc!Z12</f>
        <v>3100</v>
      </c>
      <c r="C11" s="122" t="str">
        <f ca="1">IF(Calc!AA12="Verlust","eventueller Gewinn",Calc!AA12)</f>
        <v>Strom</v>
      </c>
      <c r="D11" s="117" t="str">
        <f ca="1">IF(C11="Total",SUM(D$6:D10)+0.0001,"")</f>
        <v/>
      </c>
      <c r="E11" s="117" t="str">
        <f ca="1">IF(C11="Total",SUM(E$6:E10)+0.0001,"")</f>
        <v/>
      </c>
      <c r="F11" s="75">
        <f ca="1">IF(C11="Total",SUM(F$5:F10)+0.0001,Calc!AB12)</f>
        <v>0</v>
      </c>
      <c r="G11" s="167" t="str">
        <f t="shared" ca="1" si="1"/>
        <v/>
      </c>
      <c r="H11" s="173" t="str">
        <f ca="1">IF(C11="Total",SUM(H$6:H10)+0.0001,"")</f>
        <v/>
      </c>
      <c r="I11" s="178"/>
      <c r="J11" s="175" t="str">
        <f>Calc!AE12</f>
        <v/>
      </c>
      <c r="K11" s="122">
        <f>Calc!AF12</f>
        <v>5040</v>
      </c>
      <c r="L11" s="122" t="str">
        <f ca="1">IF(Calc!AG12="Gewinn","eventueller Verlust",Calc!AG12)</f>
        <v>NK-Akkontozhlg: Partei 4</v>
      </c>
      <c r="M11" s="117" t="str">
        <f ca="1">IF(L11="Total",SUM(M$6:M10)+0.0001,"")</f>
        <v/>
      </c>
      <c r="N11" s="117" t="str">
        <f ca="1">IF(L11="Total",SUM(N$6:N10)+0.0001,"")</f>
        <v/>
      </c>
      <c r="O11" s="75">
        <f ca="1">IF(L11="Total",SUM(O$6:O10)+0.0001,Calc!AH12)</f>
        <v>0</v>
      </c>
      <c r="P11" s="167" t="str">
        <f t="shared" ca="1" si="2"/>
        <v/>
      </c>
      <c r="Q11" s="117" t="str">
        <f ca="1">IF(L11="Total",SUM(Q$6:Q10)+0.0001,"")</f>
        <v/>
      </c>
      <c r="V11">
        <v>1</v>
      </c>
      <c r="W11">
        <f t="shared" ca="1" si="3"/>
        <v>0</v>
      </c>
    </row>
    <row r="12" spans="1:28" ht="15">
      <c r="A12" s="123" t="str">
        <f>Calc!Y13</f>
        <v/>
      </c>
      <c r="B12" s="122">
        <f>Calc!Z13</f>
        <v>3200</v>
      </c>
      <c r="C12" s="122" t="str">
        <f ca="1">IF(Calc!AA13="Verlust","eventueller Gewinn",Calc!AA13)</f>
        <v>Wasser</v>
      </c>
      <c r="D12" s="117" t="str">
        <f ca="1">IF(C12="Total",SUM(D$6:D11)+0.0001,"")</f>
        <v/>
      </c>
      <c r="E12" s="117" t="str">
        <f ca="1">IF(C12="Total",SUM(E$6:E11)+0.0001,"")</f>
        <v/>
      </c>
      <c r="F12" s="75">
        <f ca="1">IF(C12="Total",SUM(F$5:F11)+0.0001,Calc!AB13)</f>
        <v>0</v>
      </c>
      <c r="G12" s="167" t="str">
        <f t="shared" ca="1" si="1"/>
        <v/>
      </c>
      <c r="H12" s="173" t="str">
        <f ca="1">IF(C12="Total",SUM(H$6:H11)+0.0001,"")</f>
        <v/>
      </c>
      <c r="I12" s="178"/>
      <c r="J12" s="175" t="str">
        <f>Calc!AE13</f>
        <v/>
      </c>
      <c r="K12" s="122">
        <f>Calc!AF13</f>
        <v>5050</v>
      </c>
      <c r="L12" s="122" t="str">
        <f ca="1">IF(Calc!AG13="Gewinn","eventueller Verlust",Calc!AG13)</f>
        <v>NK-Akkontozhlg: Partei 5</v>
      </c>
      <c r="M12" s="117" t="str">
        <f ca="1">IF(L12="Total",SUM(M$6:M11)+0.0001,"")</f>
        <v/>
      </c>
      <c r="N12" s="117" t="str">
        <f ca="1">IF(L12="Total",SUM(N$6:N11)+0.0001,"")</f>
        <v/>
      </c>
      <c r="O12" s="75">
        <f ca="1">IF(L12="Total",SUM(O$6:O11)+0.0001,Calc!AH13)</f>
        <v>0</v>
      </c>
      <c r="P12" s="167" t="str">
        <f t="shared" ca="1" si="2"/>
        <v/>
      </c>
      <c r="Q12" s="117" t="str">
        <f ca="1">IF(L12="Total",SUM(Q$6:Q11)+0.0001,"")</f>
        <v/>
      </c>
      <c r="V12">
        <v>1</v>
      </c>
      <c r="W12">
        <f t="shared" ca="1" si="3"/>
        <v>0</v>
      </c>
    </row>
    <row r="13" spans="1:28" ht="15">
      <c r="A13" s="123" t="str">
        <f>Calc!Y14</f>
        <v/>
      </c>
      <c r="B13" s="122">
        <f>Calc!Z14</f>
        <v>3300</v>
      </c>
      <c r="C13" s="122" t="str">
        <f ca="1">IF(Calc!AA14="Verlust","eventueller Gewinn",Calc!AA14)</f>
        <v>ARA</v>
      </c>
      <c r="D13" s="117" t="str">
        <f ca="1">IF(C13="Total",SUM(D$6:D12)+0.0001,"")</f>
        <v/>
      </c>
      <c r="E13" s="117" t="str">
        <f ca="1">IF(C13="Total",SUM(E$6:E12)+0.0001,"")</f>
        <v/>
      </c>
      <c r="F13" s="75">
        <f ca="1">IF(C13="Total",SUM(F$5:F12)+0.0001,Calc!AB14)</f>
        <v>0</v>
      </c>
      <c r="G13" s="167" t="str">
        <f t="shared" ca="1" si="1"/>
        <v/>
      </c>
      <c r="H13" s="173" t="str">
        <f ca="1">IF(C13="Total",SUM(H$6:H12)+0.0001,"")</f>
        <v/>
      </c>
      <c r="I13" s="178"/>
      <c r="J13" s="175" t="str">
        <f>Calc!AE14</f>
        <v/>
      </c>
      <c r="K13" s="122">
        <f>Calc!AF14</f>
        <v>5060</v>
      </c>
      <c r="L13" s="122" t="str">
        <f ca="1">IF(Calc!AG14="Gewinn","eventueller Verlust",Calc!AG14)</f>
        <v>NK-Akkontozhlg: Partei 6</v>
      </c>
      <c r="M13" s="117" t="str">
        <f ca="1">IF(L13="Total",SUM(M$6:M12)+0.0001,"")</f>
        <v/>
      </c>
      <c r="N13" s="117" t="str">
        <f ca="1">IF(L13="Total",SUM(N$6:N12)+0.0001,"")</f>
        <v/>
      </c>
      <c r="O13" s="75">
        <f ca="1">IF(L13="Total",SUM(O$6:O12)+0.0001,Calc!AH14)</f>
        <v>0</v>
      </c>
      <c r="P13" s="167" t="str">
        <f t="shared" ca="1" si="2"/>
        <v/>
      </c>
      <c r="Q13" s="117" t="str">
        <f ca="1">IF(L13="Total",SUM(Q$6:Q12)+0.0001,"")</f>
        <v/>
      </c>
      <c r="V13">
        <v>1</v>
      </c>
      <c r="W13">
        <f t="shared" ca="1" si="3"/>
        <v>0</v>
      </c>
    </row>
    <row r="14" spans="1:28" ht="15">
      <c r="A14" s="123" t="str">
        <f>Calc!Y15</f>
        <v>weitere NK nach Wertquoten</v>
      </c>
      <c r="B14" s="122">
        <f>Calc!Z15</f>
        <v>0</v>
      </c>
      <c r="C14" s="122" t="str">
        <f ca="1">IF(Calc!AA15="Verlust","eventueller Gewinn",Calc!AA15)</f>
        <v/>
      </c>
      <c r="D14" s="117" t="str">
        <f ca="1">IF(C14="Total",SUM(D$6:D13)+0.0001,"")</f>
        <v/>
      </c>
      <c r="E14" s="117" t="str">
        <f ca="1">IF(C14="Total",SUM(E$6:E13)+0.0001,"")</f>
        <v/>
      </c>
      <c r="F14" s="75">
        <f ca="1">IF(C14="Total",SUM(F$5:F13)+0.0001,Calc!AB15)</f>
        <v>0</v>
      </c>
      <c r="G14" s="167" t="str">
        <f t="shared" ca="1" si="1"/>
        <v/>
      </c>
      <c r="H14" s="173" t="str">
        <f ca="1">IF(C14="Total",SUM(H$6:H13)+0.0001,"")</f>
        <v/>
      </c>
      <c r="I14" s="178"/>
      <c r="J14" s="175" t="str">
        <f>Calc!AE15</f>
        <v/>
      </c>
      <c r="K14" s="122">
        <f>Calc!AF15</f>
        <v>5070</v>
      </c>
      <c r="L14" s="122" t="str">
        <f ca="1">IF(Calc!AG15="Gewinn","eventueller Verlust",Calc!AG15)</f>
        <v>NK-Akkontozhlg: Partei 7</v>
      </c>
      <c r="M14" s="117" t="str">
        <f ca="1">IF(L14="Total",SUM(M$6:M13)+0.0001,"")</f>
        <v/>
      </c>
      <c r="N14" s="117" t="str">
        <f ca="1">IF(L14="Total",SUM(N$6:N13)+0.0001,"")</f>
        <v/>
      </c>
      <c r="O14" s="75">
        <f ca="1">IF(L14="Total",SUM(O$6:O13)+0.0001,Calc!AH15)</f>
        <v>0</v>
      </c>
      <c r="P14" s="167" t="str">
        <f t="shared" ca="1" si="2"/>
        <v/>
      </c>
      <c r="Q14" s="117" t="str">
        <f ca="1">IF(L14="Total",SUM(Q$6:Q13)+0.0001,"")</f>
        <v/>
      </c>
      <c r="V14">
        <v>1</v>
      </c>
      <c r="W14">
        <f t="shared" ca="1" si="3"/>
        <v>0</v>
      </c>
    </row>
    <row r="15" spans="1:28" ht="15">
      <c r="A15" s="123" t="str">
        <f>Calc!Y16</f>
        <v/>
      </c>
      <c r="B15" s="122">
        <f>Calc!Z16</f>
        <v>3400</v>
      </c>
      <c r="C15" s="122" t="str">
        <f ca="1">IF(Calc!AA16="Verlust","eventueller Gewinn",Calc!AA16)</f>
        <v>Honorar Verwaltung</v>
      </c>
      <c r="D15" s="117" t="str">
        <f ca="1">IF(C15="Total",SUM(D$6:D14)+0.0001,"")</f>
        <v/>
      </c>
      <c r="E15" s="117" t="str">
        <f ca="1">IF(C15="Total",SUM(E$6:E14)+0.0001,"")</f>
        <v/>
      </c>
      <c r="F15" s="75">
        <f ca="1">IF(C15="Total",SUM(F$5:F14)+0.0001,Calc!AB16)</f>
        <v>0</v>
      </c>
      <c r="G15" s="167" t="str">
        <f t="shared" ca="1" si="1"/>
        <v/>
      </c>
      <c r="H15" s="173" t="str">
        <f ca="1">IF(C15="Total",SUM(H$6:H14)+0.0001,"")</f>
        <v/>
      </c>
      <c r="I15" s="178"/>
      <c r="J15" s="175" t="str">
        <f>Calc!AE16</f>
        <v/>
      </c>
      <c r="K15" s="122">
        <f>Calc!AF16</f>
        <v>5080</v>
      </c>
      <c r="L15" s="122" t="str">
        <f ca="1">IF(Calc!AG16="Gewinn","eventueller Verlust",Calc!AG16)</f>
        <v>NK-Akkontozhlg: Partei 8</v>
      </c>
      <c r="M15" s="117" t="str">
        <f ca="1">IF(L15="Total",SUM(M$6:M14)+0.0001,"")</f>
        <v/>
      </c>
      <c r="N15" s="117" t="str">
        <f ca="1">IF(L15="Total",SUM(N$6:N14)+0.0001,"")</f>
        <v/>
      </c>
      <c r="O15" s="75">
        <f ca="1">IF(L15="Total",SUM(O$6:O14)+0.0001,Calc!AH16)</f>
        <v>0</v>
      </c>
      <c r="P15" s="167" t="str">
        <f t="shared" ca="1" si="2"/>
        <v/>
      </c>
      <c r="Q15" s="117" t="str">
        <f ca="1">IF(L15="Total",SUM(Q$6:Q14)+0.0001,"")</f>
        <v/>
      </c>
      <c r="V15">
        <v>1</v>
      </c>
      <c r="W15">
        <f t="shared" ca="1" si="3"/>
        <v>0</v>
      </c>
    </row>
    <row r="16" spans="1:28" ht="15">
      <c r="A16" s="123" t="str">
        <f>Calc!Y17</f>
        <v/>
      </c>
      <c r="B16" s="122">
        <f>Calc!Z17</f>
        <v>3420</v>
      </c>
      <c r="C16" s="122" t="str">
        <f ca="1">IF(Calc!AA17="Verlust","eventueller Gewinn",Calc!AA17)</f>
        <v>Hauswartdienst</v>
      </c>
      <c r="D16" s="117" t="str">
        <f ca="1">IF(C16="Total",SUM(D$6:D15)+0.0001,"")</f>
        <v/>
      </c>
      <c r="E16" s="117" t="str">
        <f ca="1">IF(C16="Total",SUM(E$6:E15)+0.0001,"")</f>
        <v/>
      </c>
      <c r="F16" s="75">
        <f ca="1">IF(C16="Total",SUM(F$5:F15)+0.0001,Calc!AB17)</f>
        <v>0</v>
      </c>
      <c r="G16" s="167" t="str">
        <f t="shared" ca="1" si="1"/>
        <v/>
      </c>
      <c r="H16" s="173" t="str">
        <f ca="1">IF(C16="Total",SUM(H$6:H15)+0.0001,"")</f>
        <v/>
      </c>
      <c r="I16" s="178"/>
      <c r="J16" s="175" t="str">
        <f>Calc!AE17</f>
        <v/>
      </c>
      <c r="K16" s="122">
        <f>Calc!AF17</f>
        <v>5090</v>
      </c>
      <c r="L16" s="122" t="str">
        <f ca="1">IF(Calc!AG17="Gewinn","eventueller Verlust",Calc!AG17)</f>
        <v>NK-Akkontozhlg: Partei 9</v>
      </c>
      <c r="M16" s="117" t="str">
        <f ca="1">IF(L16="Total",SUM(M$6:M15)+0.0001,"")</f>
        <v/>
      </c>
      <c r="N16" s="117" t="str">
        <f ca="1">IF(L16="Total",SUM(N$6:N15)+0.0001,"")</f>
        <v/>
      </c>
      <c r="O16" s="75">
        <f ca="1">IF(L16="Total",SUM(O$6:O15)+0.0001,Calc!AH17)</f>
        <v>0</v>
      </c>
      <c r="P16" s="167" t="str">
        <f t="shared" ca="1" si="2"/>
        <v/>
      </c>
      <c r="Q16" s="117" t="str">
        <f ca="1">IF(L16="Total",SUM(Q$6:Q15)+0.0001,"")</f>
        <v/>
      </c>
      <c r="V16">
        <v>1</v>
      </c>
      <c r="W16">
        <f t="shared" ca="1" si="3"/>
        <v>0</v>
      </c>
    </row>
    <row r="17" spans="1:23" ht="15">
      <c r="A17" s="123" t="str">
        <f>Calc!Y18</f>
        <v/>
      </c>
      <c r="B17" s="122">
        <f>Calc!Z18</f>
        <v>3440</v>
      </c>
      <c r="C17" s="122" t="str">
        <f ca="1">IF(Calc!AA18="Verlust","eventueller Gewinn",Calc!AA18)</f>
        <v>evtl. Hauswartdienst II</v>
      </c>
      <c r="D17" s="117" t="str">
        <f ca="1">IF(C17="Total",SUM(D$6:D16)+0.0001,"")</f>
        <v/>
      </c>
      <c r="E17" s="117" t="str">
        <f ca="1">IF(C17="Total",SUM(E$6:E16)+0.0001,"")</f>
        <v/>
      </c>
      <c r="F17" s="75">
        <f ca="1">IF(C17="Total",SUM(F$5:F16)+0.0001,Calc!AB18)</f>
        <v>0</v>
      </c>
      <c r="G17" s="167" t="str">
        <f t="shared" ca="1" si="1"/>
        <v/>
      </c>
      <c r="H17" s="173" t="str">
        <f ca="1">IF(C17="Total",SUM(H$6:H16)+0.0001,"")</f>
        <v/>
      </c>
      <c r="I17" s="178"/>
      <c r="J17" s="175" t="str">
        <f>Calc!AE18</f>
        <v/>
      </c>
      <c r="K17" s="122">
        <f>Calc!AF18</f>
        <v>5100</v>
      </c>
      <c r="L17" s="122" t="str">
        <f ca="1">IF(Calc!AG18="Gewinn","eventueller Verlust",Calc!AG18)</f>
        <v>NK-Akkontozhlg: Partei 10</v>
      </c>
      <c r="M17" s="117" t="str">
        <f ca="1">IF(L17="Total",SUM(M$6:M16)+0.0001,"")</f>
        <v/>
      </c>
      <c r="N17" s="117" t="str">
        <f ca="1">IF(L17="Total",SUM(N$6:N16)+0.0001,"")</f>
        <v/>
      </c>
      <c r="O17" s="75">
        <f ca="1">IF(L17="Total",SUM(O$6:O16)+0.0001,Calc!AH18)</f>
        <v>0</v>
      </c>
      <c r="P17" s="167" t="str">
        <f t="shared" ca="1" si="2"/>
        <v/>
      </c>
      <c r="Q17" s="117" t="str">
        <f ca="1">IF(L17="Total",SUM(Q$6:Q16)+0.0001,"")</f>
        <v/>
      </c>
      <c r="V17">
        <v>1</v>
      </c>
      <c r="W17">
        <f t="shared" ca="1" si="3"/>
        <v>0</v>
      </c>
    </row>
    <row r="18" spans="1:23" ht="15">
      <c r="A18" s="123" t="str">
        <f>Calc!Y19</f>
        <v/>
      </c>
      <c r="B18" s="122">
        <f>Calc!Z19</f>
        <v>3480</v>
      </c>
      <c r="C18" s="122" t="str">
        <f ca="1">IF(Calc!AA19="Verlust","eventueller Gewinn",Calc!AA19)</f>
        <v>Hauswart AHV</v>
      </c>
      <c r="D18" s="117" t="str">
        <f ca="1">IF(C18="Total",SUM(D$6:D17)+0.0001,"")</f>
        <v/>
      </c>
      <c r="E18" s="117" t="str">
        <f ca="1">IF(C18="Total",SUM(E$6:E17)+0.0001,"")</f>
        <v/>
      </c>
      <c r="F18" s="75">
        <f ca="1">IF(C18="Total",SUM(F$5:F17)+0.0001,Calc!AB19)</f>
        <v>0</v>
      </c>
      <c r="G18" s="167" t="str">
        <f t="shared" ca="1" si="1"/>
        <v/>
      </c>
      <c r="H18" s="173" t="str">
        <f ca="1">IF(C18="Total",SUM(H$6:H17)+0.0001,"")</f>
        <v/>
      </c>
      <c r="I18" s="178"/>
      <c r="J18" s="175" t="str">
        <f>Calc!AE19</f>
        <v/>
      </c>
      <c r="K18" s="122">
        <f>Calc!AF19</f>
        <v>5110</v>
      </c>
      <c r="L18" s="122" t="str">
        <f ca="1">IF(Calc!AG19="Gewinn","eventueller Verlust",Calc!AG19)</f>
        <v>NK-Akkontozhlg: Partei 11</v>
      </c>
      <c r="M18" s="117" t="str">
        <f ca="1">IF(L18="Total",SUM(M$6:M17)+0.0001,"")</f>
        <v/>
      </c>
      <c r="N18" s="117" t="str">
        <f ca="1">IF(L18="Total",SUM(N$6:N17)+0.0001,"")</f>
        <v/>
      </c>
      <c r="O18" s="75">
        <f ca="1">IF(L18="Total",SUM(O$6:O17)+0.0001,Calc!AH19)</f>
        <v>0</v>
      </c>
      <c r="P18" s="167" t="str">
        <f t="shared" ca="1" si="2"/>
        <v/>
      </c>
      <c r="Q18" s="117" t="str">
        <f ca="1">IF(L18="Total",SUM(Q$6:Q17)+0.0001,"")</f>
        <v/>
      </c>
      <c r="V18">
        <v>1</v>
      </c>
      <c r="W18">
        <f t="shared" ca="1" si="3"/>
        <v>0</v>
      </c>
    </row>
    <row r="19" spans="1:23" ht="15">
      <c r="A19" s="123" t="str">
        <f>Calc!Y20</f>
        <v/>
      </c>
      <c r="B19" s="122">
        <f>Calc!Z20</f>
        <v>3500</v>
      </c>
      <c r="C19" s="122" t="str">
        <f ca="1">IF(Calc!AA20="Verlust","eventueller Gewinn",Calc!AA20)</f>
        <v>Gebäudeversicherung</v>
      </c>
      <c r="D19" s="117" t="str">
        <f ca="1">IF(C19="Total",SUM(D$6:D18)+0.0001,"")</f>
        <v/>
      </c>
      <c r="E19" s="117" t="str">
        <f ca="1">IF(C19="Total",SUM(E$6:E18)+0.0001,"")</f>
        <v/>
      </c>
      <c r="F19" s="75">
        <f ca="1">IF(C19="Total",SUM(F$5:F18)+0.0001,Calc!AB20)</f>
        <v>0</v>
      </c>
      <c r="G19" s="167" t="str">
        <f t="shared" ca="1" si="1"/>
        <v/>
      </c>
      <c r="H19" s="173" t="str">
        <f ca="1">IF(C19="Total",SUM(H$6:H18)+0.0001,"")</f>
        <v/>
      </c>
      <c r="I19" s="178"/>
      <c r="J19" s="175" t="str">
        <f>Calc!AE20</f>
        <v/>
      </c>
      <c r="K19" s="122">
        <f>Calc!AF20</f>
        <v>5120</v>
      </c>
      <c r="L19" s="122" t="str">
        <f ca="1">IF(Calc!AG20="Gewinn","eventueller Verlust",Calc!AG20)</f>
        <v>NK-Akkontozhlg: Partei 12</v>
      </c>
      <c r="M19" s="117" t="str">
        <f ca="1">IF(L19="Total",SUM(M$6:M18)+0.0001,"")</f>
        <v/>
      </c>
      <c r="N19" s="117" t="str">
        <f ca="1">IF(L19="Total",SUM(N$6:N18)+0.0001,"")</f>
        <v/>
      </c>
      <c r="O19" s="75">
        <f ca="1">IF(L19="Total",SUM(O$6:O18)+0.0001,Calc!AH20)</f>
        <v>0</v>
      </c>
      <c r="P19" s="167" t="str">
        <f t="shared" ca="1" si="2"/>
        <v/>
      </c>
      <c r="Q19" s="117" t="str">
        <f ca="1">IF(L19="Total",SUM(Q$6:Q18)+0.0001,"")</f>
        <v/>
      </c>
      <c r="V19">
        <v>1</v>
      </c>
      <c r="W19">
        <f t="shared" ca="1" si="3"/>
        <v>0</v>
      </c>
    </row>
    <row r="20" spans="1:23" ht="15">
      <c r="A20" s="123" t="str">
        <f>Calc!Y21</f>
        <v/>
      </c>
      <c r="B20" s="122">
        <f>Calc!Z21</f>
        <v>3550</v>
      </c>
      <c r="C20" s="122" t="str">
        <f ca="1">IF(Calc!AA21="Verlust","eventueller Gewinn",Calc!AA21)</f>
        <v>evtl. Gebäudeversicherung II</v>
      </c>
      <c r="D20" s="117" t="str">
        <f ca="1">IF(C20="Total",SUM(D$6:D19)+0.0001,"")</f>
        <v/>
      </c>
      <c r="E20" s="117" t="str">
        <f ca="1">IF(C20="Total",SUM(E$6:E19)+0.0001,"")</f>
        <v/>
      </c>
      <c r="F20" s="75">
        <f ca="1">IF(C20="Total",SUM(F$5:F19)+0.0001,Calc!AB21)</f>
        <v>0</v>
      </c>
      <c r="G20" s="167" t="str">
        <f t="shared" ca="1" si="1"/>
        <v/>
      </c>
      <c r="H20" s="173" t="str">
        <f ca="1">IF(C20="Total",SUM(H$6:H19)+0.0001,"")</f>
        <v/>
      </c>
      <c r="I20" s="178"/>
      <c r="J20" s="175" t="str">
        <f>Calc!AE21</f>
        <v>NK: Rückzahlungen</v>
      </c>
      <c r="K20" s="122">
        <f>Calc!AF21</f>
        <v>0</v>
      </c>
      <c r="L20" s="122" t="str">
        <f ca="1">IF(Calc!AG21="Gewinn","eventueller Verlust",Calc!AG21)</f>
        <v/>
      </c>
      <c r="M20" s="117" t="str">
        <f ca="1">IF(L20="Total",SUM(M$6:M19)+0.0001,"")</f>
        <v/>
      </c>
      <c r="N20" s="117" t="str">
        <f ca="1">IF(L20="Total",SUM(N$6:N19)+0.0001,"")</f>
        <v/>
      </c>
      <c r="O20" s="75">
        <f ca="1">IF(L20="Total",SUM(O$6:O19)+0.0001,Calc!AH21)</f>
        <v>0</v>
      </c>
      <c r="P20" s="167" t="str">
        <f t="shared" ca="1" si="2"/>
        <v/>
      </c>
      <c r="Q20" s="117" t="str">
        <f ca="1">IF(L20="Total",SUM(Q$6:Q19)+0.0001,"")</f>
        <v/>
      </c>
      <c r="V20">
        <v>1</v>
      </c>
      <c r="W20">
        <f t="shared" ca="1" si="3"/>
        <v>0</v>
      </c>
    </row>
    <row r="21" spans="1:23" ht="15">
      <c r="A21" s="123" t="str">
        <f>Calc!Y22</f>
        <v/>
      </c>
      <c r="B21" s="122">
        <f>Calc!Z22</f>
        <v>3600</v>
      </c>
      <c r="C21" s="122" t="str">
        <f ca="1">IF(Calc!AA22="Verlust","eventueller Gewinn",Calc!AA22)</f>
        <v>Wartung Heizung</v>
      </c>
      <c r="D21" s="117" t="str">
        <f ca="1">IF(C21="Total",SUM(D$6:D20)+0.0001,"")</f>
        <v/>
      </c>
      <c r="E21" s="117" t="str">
        <f ca="1">IF(C21="Total",SUM(E$6:E20)+0.0001,"")</f>
        <v/>
      </c>
      <c r="F21" s="75">
        <f ca="1">IF(C21="Total",SUM(F$5:F20)+0.0001,Calc!AB22)</f>
        <v>0</v>
      </c>
      <c r="G21" s="167" t="str">
        <f t="shared" ca="1" si="1"/>
        <v/>
      </c>
      <c r="H21" s="173" t="str">
        <f ca="1">IF(C21="Total",SUM(H$6:H20)+0.0001,"")</f>
        <v/>
      </c>
      <c r="I21" s="178"/>
      <c r="J21" s="175" t="str">
        <f>Calc!AE22</f>
        <v/>
      </c>
      <c r="K21" s="122">
        <f>Calc!AF22</f>
        <v>6010</v>
      </c>
      <c r="L21" s="122" t="str">
        <f ca="1">IF(Calc!AG22="Gewinn","eventueller Verlust",Calc!AG22)</f>
        <v>NK-Rückzhgen: Partei 1</v>
      </c>
      <c r="M21" s="117" t="str">
        <f ca="1">IF(L21="Total",SUM(M$6:M20)+0.0001,"")</f>
        <v/>
      </c>
      <c r="N21" s="117" t="str">
        <f ca="1">IF(L21="Total",SUM(N$6:N20)+0.0001,"")</f>
        <v/>
      </c>
      <c r="O21" s="75">
        <f ca="1">IF(L21="Total",SUM(O$6:O20)+0.0001,Calc!AH22)</f>
        <v>0</v>
      </c>
      <c r="P21" s="167" t="str">
        <f t="shared" ca="1" si="2"/>
        <v/>
      </c>
      <c r="Q21" s="117" t="str">
        <f ca="1">IF(L21="Total",SUM(Q$6:Q20)+0.0001,"")</f>
        <v/>
      </c>
      <c r="V21">
        <v>1</v>
      </c>
      <c r="W21">
        <f t="shared" ca="1" si="3"/>
        <v>0</v>
      </c>
    </row>
    <row r="22" spans="1:23" ht="15">
      <c r="A22" s="123" t="str">
        <f>Calc!Y23</f>
        <v/>
      </c>
      <c r="B22" s="122">
        <f>Calc!Z23</f>
        <v>3620</v>
      </c>
      <c r="C22" s="122" t="str">
        <f ca="1">IF(Calc!AA23="Verlust","eventueller Gewinn",Calc!AA23)</f>
        <v>Wartung Lift</v>
      </c>
      <c r="D22" s="117" t="str">
        <f ca="1">IF(C22="Total",SUM(D$6:D21)+0.0001,"")</f>
        <v/>
      </c>
      <c r="E22" s="117" t="str">
        <f ca="1">IF(C22="Total",SUM(E$6:E21)+0.0001,"")</f>
        <v/>
      </c>
      <c r="F22" s="75">
        <f ca="1">IF(C22="Total",SUM(F$5:F21)+0.0001,Calc!AB23)</f>
        <v>0</v>
      </c>
      <c r="G22" s="167" t="str">
        <f t="shared" ca="1" si="1"/>
        <v/>
      </c>
      <c r="H22" s="173" t="str">
        <f ca="1">IF(C22="Total",SUM(H$6:H21)+0.0001,"")</f>
        <v/>
      </c>
      <c r="I22" s="178"/>
      <c r="J22" s="175" t="str">
        <f>Calc!AE23</f>
        <v/>
      </c>
      <c r="K22" s="122">
        <f>Calc!AF23</f>
        <v>6020</v>
      </c>
      <c r="L22" s="122" t="str">
        <f ca="1">IF(Calc!AG23="Gewinn","eventueller Verlust",Calc!AG23)</f>
        <v>NK-Rückzhgen: Partei 2</v>
      </c>
      <c r="M22" s="117" t="str">
        <f ca="1">IF(L22="Total",SUM(M$6:M21)+0.0001,"")</f>
        <v/>
      </c>
      <c r="N22" s="117" t="str">
        <f ca="1">IF(L22="Total",SUM(N$6:N21)+0.0001,"")</f>
        <v/>
      </c>
      <c r="O22" s="75">
        <f ca="1">IF(L22="Total",SUM(O$6:O21)+0.0001,Calc!AH23)</f>
        <v>0</v>
      </c>
      <c r="P22" s="167" t="str">
        <f t="shared" ca="1" si="2"/>
        <v/>
      </c>
      <c r="Q22" s="117" t="str">
        <f ca="1">IF(L22="Total",SUM(Q$6:Q21)+0.0001,"")</f>
        <v/>
      </c>
      <c r="V22">
        <v>1</v>
      </c>
      <c r="W22">
        <f t="shared" ca="1" si="3"/>
        <v>0</v>
      </c>
    </row>
    <row r="23" spans="1:23" ht="15">
      <c r="A23" s="123" t="str">
        <f>Calc!Y24</f>
        <v/>
      </c>
      <c r="B23" s="122">
        <f>Calc!Z24</f>
        <v>3640</v>
      </c>
      <c r="C23" s="122" t="str">
        <f ca="1">IF(Calc!AA24="Verlust","eventueller Gewinn",Calc!AA24)</f>
        <v>Wartung Lüftung</v>
      </c>
      <c r="D23" s="117" t="str">
        <f ca="1">IF(C23="Total",SUM(D$6:D22)+0.0001,"")</f>
        <v/>
      </c>
      <c r="E23" s="117" t="str">
        <f ca="1">IF(C23="Total",SUM(E$6:E22)+0.0001,"")</f>
        <v/>
      </c>
      <c r="F23" s="75">
        <f ca="1">IF(C23="Total",SUM(F$5:F22)+0.0001,Calc!AB24)</f>
        <v>0</v>
      </c>
      <c r="G23" s="167" t="str">
        <f t="shared" ca="1" si="1"/>
        <v/>
      </c>
      <c r="H23" s="173" t="str">
        <f ca="1">IF(C23="Total",SUM(H$6:H22)+0.0001,"")</f>
        <v/>
      </c>
      <c r="I23" s="178"/>
      <c r="J23" s="175" t="str">
        <f>Calc!AE24</f>
        <v/>
      </c>
      <c r="K23" s="122">
        <f>Calc!AF24</f>
        <v>6030</v>
      </c>
      <c r="L23" s="122" t="str">
        <f ca="1">IF(Calc!AG24="Gewinn","eventueller Verlust",Calc!AG24)</f>
        <v>NK-Rückzhgen: Partei 3</v>
      </c>
      <c r="M23" s="117" t="str">
        <f ca="1">IF(L23="Total",SUM(M$6:M22)+0.0001,"")</f>
        <v/>
      </c>
      <c r="N23" s="117" t="str">
        <f ca="1">IF(L23="Total",SUM(N$6:N22)+0.0001,"")</f>
        <v/>
      </c>
      <c r="O23" s="75">
        <f ca="1">IF(L23="Total",SUM(O$6:O22)+0.0001,Calc!AH24)</f>
        <v>0</v>
      </c>
      <c r="P23" s="167" t="str">
        <f t="shared" ca="1" si="2"/>
        <v/>
      </c>
      <c r="Q23" s="117" t="str">
        <f ca="1">IF(L23="Total",SUM(Q$6:Q22)+0.0001,"")</f>
        <v/>
      </c>
      <c r="V23">
        <v>1</v>
      </c>
      <c r="W23">
        <f t="shared" ca="1" si="3"/>
        <v>0</v>
      </c>
    </row>
    <row r="24" spans="1:23" ht="15">
      <c r="A24" s="123" t="str">
        <f>Calc!Y25</f>
        <v/>
      </c>
      <c r="B24" s="122">
        <f>Calc!Z25</f>
        <v>3660</v>
      </c>
      <c r="C24" s="122" t="str">
        <f ca="1">IF(Calc!AA25="Verlust","eventueller Gewinn",Calc!AA25)</f>
        <v>Wartung Flachdach</v>
      </c>
      <c r="D24" s="117" t="str">
        <f ca="1">IF(C24="Total",SUM(D$6:D23)+0.0001,"")</f>
        <v/>
      </c>
      <c r="E24" s="117" t="str">
        <f ca="1">IF(C24="Total",SUM(E$6:E23)+0.0001,"")</f>
        <v/>
      </c>
      <c r="F24" s="75">
        <f ca="1">IF(C24="Total",SUM(F$5:F23)+0.0001,Calc!AB25)</f>
        <v>0</v>
      </c>
      <c r="G24" s="167" t="str">
        <f t="shared" ca="1" si="1"/>
        <v/>
      </c>
      <c r="H24" s="173" t="str">
        <f ca="1">IF(C24="Total",SUM(H$6:H23)+0.0001,"")</f>
        <v/>
      </c>
      <c r="I24" s="178"/>
      <c r="J24" s="175" t="str">
        <f>Calc!AE25</f>
        <v/>
      </c>
      <c r="K24" s="122">
        <f>Calc!AF25</f>
        <v>6040</v>
      </c>
      <c r="L24" s="122" t="str">
        <f ca="1">IF(Calc!AG25="Gewinn","eventueller Verlust",Calc!AG25)</f>
        <v>NK-Rückzhgen: Partei 4</v>
      </c>
      <c r="M24" s="117" t="str">
        <f ca="1">IF(L24="Total",SUM(M$6:M23)+0.0001,"")</f>
        <v/>
      </c>
      <c r="N24" s="117" t="str">
        <f ca="1">IF(L24="Total",SUM(N$6:N23)+0.0001,"")</f>
        <v/>
      </c>
      <c r="O24" s="75">
        <f ca="1">IF(L24="Total",SUM(O$6:O23)+0.0001,Calc!AH25)</f>
        <v>0</v>
      </c>
      <c r="P24" s="167" t="str">
        <f t="shared" ca="1" si="2"/>
        <v/>
      </c>
      <c r="Q24" s="117" t="str">
        <f ca="1">IF(L24="Total",SUM(Q$6:Q23)+0.0001,"")</f>
        <v/>
      </c>
      <c r="V24">
        <v>1</v>
      </c>
      <c r="W24">
        <f t="shared" ca="1" si="3"/>
        <v>0</v>
      </c>
    </row>
    <row r="25" spans="1:23" ht="15">
      <c r="A25" s="123" t="str">
        <f>Calc!Y26</f>
        <v/>
      </c>
      <c r="B25" s="122">
        <f>Calc!Z26</f>
        <v>3680</v>
      </c>
      <c r="C25" s="122" t="str">
        <f ca="1">IF(Calc!AA26="Verlust","eventueller Gewinn",Calc!AA26)</f>
        <v>Wartung div.</v>
      </c>
      <c r="D25" s="117" t="str">
        <f ca="1">IF(C25="Total",SUM(D$6:D24)+0.0001,"")</f>
        <v/>
      </c>
      <c r="E25" s="117" t="str">
        <f ca="1">IF(C25="Total",SUM(E$6:E24)+0.0001,"")</f>
        <v/>
      </c>
      <c r="F25" s="75">
        <f ca="1">IF(C25="Total",SUM(F$5:F24)+0.0001,Calc!AB26)</f>
        <v>0</v>
      </c>
      <c r="G25" s="167" t="str">
        <f t="shared" ca="1" si="1"/>
        <v/>
      </c>
      <c r="H25" s="173" t="str">
        <f ca="1">IF(C25="Total",SUM(H$6:H24)+0.0001,"")</f>
        <v/>
      </c>
      <c r="I25" s="178"/>
      <c r="J25" s="175" t="str">
        <f>Calc!AE26</f>
        <v/>
      </c>
      <c r="K25" s="122">
        <f>Calc!AF26</f>
        <v>6050</v>
      </c>
      <c r="L25" s="122" t="str">
        <f ca="1">IF(Calc!AG26="Gewinn","eventueller Verlust",Calc!AG26)</f>
        <v>NK-Rückzhgen: Partei 5</v>
      </c>
      <c r="M25" s="117" t="str">
        <f ca="1">IF(L25="Total",SUM(M$6:M24)+0.0001,"")</f>
        <v/>
      </c>
      <c r="N25" s="117" t="str">
        <f ca="1">IF(L25="Total",SUM(N$6:N24)+0.0001,"")</f>
        <v/>
      </c>
      <c r="O25" s="75">
        <f ca="1">IF(L25="Total",SUM(O$6:O24)+0.0001,Calc!AH26)</f>
        <v>0</v>
      </c>
      <c r="P25" s="167" t="str">
        <f t="shared" ca="1" si="2"/>
        <v/>
      </c>
      <c r="Q25" s="117" t="str">
        <f ca="1">IF(L25="Total",SUM(Q$6:Q24)+0.0001,"")</f>
        <v/>
      </c>
      <c r="V25">
        <v>1</v>
      </c>
      <c r="W25">
        <f t="shared" ca="1" si="3"/>
        <v>0</v>
      </c>
    </row>
    <row r="26" spans="1:23" ht="15">
      <c r="A26" s="123" t="str">
        <f>Calc!Y27</f>
        <v/>
      </c>
      <c r="B26" s="122">
        <f>Calc!Z27</f>
        <v>3700</v>
      </c>
      <c r="C26" s="122" t="str">
        <f ca="1">IF(Calc!AA27="Verlust","eventueller Gewinn",Calc!AA27)</f>
        <v>Reinigungsmittel (Hauswart)</v>
      </c>
      <c r="D26" s="117" t="str">
        <f ca="1">IF(C26="Total",SUM(D$6:D25)+0.0001,"")</f>
        <v/>
      </c>
      <c r="E26" s="117" t="str">
        <f ca="1">IF(C26="Total",SUM(E$6:E25)+0.0001,"")</f>
        <v/>
      </c>
      <c r="F26" s="75">
        <f ca="1">IF(C26="Total",SUM(F$5:F25)+0.0001,Calc!AB27)</f>
        <v>0</v>
      </c>
      <c r="G26" s="167" t="str">
        <f t="shared" ca="1" si="1"/>
        <v/>
      </c>
      <c r="H26" s="173" t="str">
        <f ca="1">IF(C26="Total",SUM(H$6:H25)+0.0001,"")</f>
        <v/>
      </c>
      <c r="I26" s="178"/>
      <c r="J26" s="175" t="str">
        <f>Calc!AE27</f>
        <v/>
      </c>
      <c r="K26" s="122">
        <f>Calc!AF27</f>
        <v>6060</v>
      </c>
      <c r="L26" s="122" t="str">
        <f ca="1">IF(Calc!AG27="Gewinn","eventueller Verlust",Calc!AG27)</f>
        <v>NK-Rückzhgen: Partei 6</v>
      </c>
      <c r="M26" s="117" t="str">
        <f ca="1">IF(L26="Total",SUM(M$6:M25)+0.0001,"")</f>
        <v/>
      </c>
      <c r="N26" s="117" t="str">
        <f ca="1">IF(L26="Total",SUM(N$6:N25)+0.0001,"")</f>
        <v/>
      </c>
      <c r="O26" s="75">
        <f ca="1">IF(L26="Total",SUM(O$6:O25)+0.0001,Calc!AH27)</f>
        <v>0</v>
      </c>
      <c r="P26" s="167" t="str">
        <f t="shared" ca="1" si="2"/>
        <v/>
      </c>
      <c r="Q26" s="117" t="str">
        <f ca="1">IF(L26="Total",SUM(Q$6:Q25)+0.0001,"")</f>
        <v/>
      </c>
      <c r="V26">
        <v>1</v>
      </c>
      <c r="W26">
        <f t="shared" ca="1" si="3"/>
        <v>0</v>
      </c>
    </row>
    <row r="27" spans="1:23" ht="15">
      <c r="A27" s="123" t="str">
        <f>Calc!Y28</f>
        <v/>
      </c>
      <c r="B27" s="122">
        <f>Calc!Z28</f>
        <v>3720</v>
      </c>
      <c r="C27" s="122" t="str">
        <f ca="1">IF(Calc!AA28="Verlust","eventueller Gewinn",Calc!AA28)</f>
        <v>Verbrauchsmaterial (Hauswart)</v>
      </c>
      <c r="D27" s="117" t="str">
        <f ca="1">IF(C27="Total",SUM(D$6:D26)+0.0001,"")</f>
        <v/>
      </c>
      <c r="E27" s="117" t="str">
        <f ca="1">IF(C27="Total",SUM(E$6:E26)+0.0001,"")</f>
        <v/>
      </c>
      <c r="F27" s="75">
        <f ca="1">IF(C27="Total",SUM(F$5:F26)+0.0001,Calc!AB28)</f>
        <v>0</v>
      </c>
      <c r="G27" s="167" t="str">
        <f t="shared" ca="1" si="1"/>
        <v/>
      </c>
      <c r="H27" s="173" t="str">
        <f ca="1">IF(C27="Total",SUM(H$6:H26)+0.0001,"")</f>
        <v/>
      </c>
      <c r="I27" s="178"/>
      <c r="J27" s="175" t="str">
        <f>Calc!AE28</f>
        <v/>
      </c>
      <c r="K27" s="122">
        <f>Calc!AF28</f>
        <v>6070</v>
      </c>
      <c r="L27" s="122" t="str">
        <f ca="1">IF(Calc!AG28="Gewinn","eventueller Verlust",Calc!AG28)</f>
        <v>NK-Rückzhgen: Partei 7</v>
      </c>
      <c r="M27" s="117" t="str">
        <f ca="1">IF(L27="Total",SUM(M$6:M26)+0.0001,"")</f>
        <v/>
      </c>
      <c r="N27" s="117" t="str">
        <f ca="1">IF(L27="Total",SUM(N$6:N26)+0.0001,"")</f>
        <v/>
      </c>
      <c r="O27" s="75">
        <f ca="1">IF(L27="Total",SUM(O$6:O26)+0.0001,Calc!AH28)</f>
        <v>0</v>
      </c>
      <c r="P27" s="167" t="str">
        <f t="shared" ca="1" si="2"/>
        <v/>
      </c>
      <c r="Q27" s="117" t="str">
        <f ca="1">IF(L27="Total",SUM(Q$6:Q26)+0.0001,"")</f>
        <v/>
      </c>
      <c r="V27">
        <v>1</v>
      </c>
      <c r="W27">
        <f t="shared" ca="1" si="3"/>
        <v>0</v>
      </c>
    </row>
    <row r="28" spans="1:23" ht="15">
      <c r="A28" s="123" t="str">
        <f>Calc!Y29</f>
        <v/>
      </c>
      <c r="B28" s="122">
        <f>Calc!Z29</f>
        <v>3740</v>
      </c>
      <c r="C28" s="122" t="str">
        <f ca="1">IF(Calc!AA29="Verlust","eventueller Gewinn",Calc!AA29)</f>
        <v>Winterdienst</v>
      </c>
      <c r="D28" s="117" t="str">
        <f ca="1">IF(C28="Total",SUM(D$6:D27)+0.0001,"")</f>
        <v/>
      </c>
      <c r="E28" s="117" t="str">
        <f ca="1">IF(C28="Total",SUM(E$6:E27)+0.0001,"")</f>
        <v/>
      </c>
      <c r="F28" s="75">
        <f ca="1">IF(C28="Total",SUM(F$5:F27)+0.0001,Calc!AB29)</f>
        <v>0</v>
      </c>
      <c r="G28" s="167" t="str">
        <f t="shared" ca="1" si="1"/>
        <v/>
      </c>
      <c r="H28" s="173" t="str">
        <f ca="1">IF(C28="Total",SUM(H$6:H27)+0.0001,"")</f>
        <v/>
      </c>
      <c r="I28" s="178"/>
      <c r="J28" s="175" t="str">
        <f>Calc!AE29</f>
        <v/>
      </c>
      <c r="K28" s="122">
        <f>Calc!AF29</f>
        <v>6080</v>
      </c>
      <c r="L28" s="122" t="str">
        <f ca="1">IF(Calc!AG29="Gewinn","eventueller Verlust",Calc!AG29)</f>
        <v>NK-Rückzhgen: Partei 8</v>
      </c>
      <c r="M28" s="117" t="str">
        <f ca="1">IF(L28="Total",SUM(M$6:M27)+0.0001,"")</f>
        <v/>
      </c>
      <c r="N28" s="117" t="str">
        <f ca="1">IF(L28="Total",SUM(N$6:N27)+0.0001,"")</f>
        <v/>
      </c>
      <c r="O28" s="75">
        <f ca="1">IF(L28="Total",SUM(O$6:O27)+0.0001,Calc!AH29)</f>
        <v>0</v>
      </c>
      <c r="P28" s="167" t="str">
        <f t="shared" ca="1" si="2"/>
        <v/>
      </c>
      <c r="Q28" s="117" t="str">
        <f ca="1">IF(L28="Total",SUM(Q$6:Q27)+0.0001,"")</f>
        <v/>
      </c>
      <c r="V28">
        <v>1</v>
      </c>
      <c r="W28">
        <f t="shared" ca="1" si="3"/>
        <v>0</v>
      </c>
    </row>
    <row r="29" spans="1:23" ht="15">
      <c r="A29" s="123" t="str">
        <f>Calc!Y30</f>
        <v/>
      </c>
      <c r="B29" s="122">
        <f>Calc!Z30</f>
        <v>3760</v>
      </c>
      <c r="C29" s="122" t="str">
        <f ca="1">IF(Calc!AA30="Verlust","eventueller Gewinn",Calc!AA30)</f>
        <v>Reparaturen</v>
      </c>
      <c r="D29" s="117" t="str">
        <f ca="1">IF(C29="Total",SUM(D$6:D28)+0.0001,"")</f>
        <v/>
      </c>
      <c r="E29" s="117" t="str">
        <f ca="1">IF(C29="Total",SUM(E$6:E28)+0.0001,"")</f>
        <v/>
      </c>
      <c r="F29" s="75">
        <f ca="1">IF(C29="Total",SUM(F$5:F28)+0.0001,Calc!AB30)</f>
        <v>0</v>
      </c>
      <c r="G29" s="167" t="str">
        <f t="shared" ca="1" si="1"/>
        <v/>
      </c>
      <c r="H29" s="173" t="str">
        <f ca="1">IF(C29="Total",SUM(H$6:H28)+0.0001,"")</f>
        <v/>
      </c>
      <c r="I29" s="178"/>
      <c r="J29" s="175" t="str">
        <f>Calc!AE30</f>
        <v/>
      </c>
      <c r="K29" s="122">
        <f>Calc!AF30</f>
        <v>6090</v>
      </c>
      <c r="L29" s="122" t="str">
        <f ca="1">IF(Calc!AG30="Gewinn","eventueller Verlust",Calc!AG30)</f>
        <v>NK-Rückzhgen: Partei 9</v>
      </c>
      <c r="M29" s="117" t="str">
        <f ca="1">IF(L29="Total",SUM(M$6:M28)+0.0001,"")</f>
        <v/>
      </c>
      <c r="N29" s="117" t="str">
        <f ca="1">IF(L29="Total",SUM(N$6:N28)+0.0001,"")</f>
        <v/>
      </c>
      <c r="O29" s="75">
        <f ca="1">IF(L29="Total",SUM(O$6:O28)+0.0001,Calc!AH30)</f>
        <v>0</v>
      </c>
      <c r="P29" s="167" t="str">
        <f t="shared" ca="1" si="2"/>
        <v/>
      </c>
      <c r="Q29" s="117" t="str">
        <f ca="1">IF(L29="Total",SUM(Q$6:Q28)+0.0001,"")</f>
        <v/>
      </c>
      <c r="V29">
        <v>1</v>
      </c>
      <c r="W29">
        <f t="shared" ca="1" si="3"/>
        <v>0</v>
      </c>
    </row>
    <row r="30" spans="1:23" ht="15">
      <c r="A30" s="123" t="str">
        <f>Calc!Y31</f>
        <v/>
      </c>
      <c r="B30" s="122">
        <f>Calc!Z31</f>
        <v>3780</v>
      </c>
      <c r="C30" s="122" t="str">
        <f ca="1">IF(Calc!AA31="Verlust","eventueller Gewinn",Calc!AA31)</f>
        <v>div. Anschaffungen</v>
      </c>
      <c r="D30" s="117" t="str">
        <f ca="1">IF(C30="Total",SUM(D$6:D29)+0.0001,"")</f>
        <v/>
      </c>
      <c r="E30" s="117" t="str">
        <f ca="1">IF(C30="Total",SUM(E$6:E29)+0.0001,"")</f>
        <v/>
      </c>
      <c r="F30" s="75">
        <f ca="1">IF(C30="Total",SUM(F$5:F29)+0.0001,Calc!AB31)</f>
        <v>0</v>
      </c>
      <c r="G30" s="167" t="str">
        <f t="shared" ca="1" si="1"/>
        <v/>
      </c>
      <c r="H30" s="173" t="str">
        <f ca="1">IF(C30="Total",SUM(H$6:H29)+0.0001,"")</f>
        <v/>
      </c>
      <c r="I30" s="178"/>
      <c r="J30" s="175" t="str">
        <f>Calc!AE31</f>
        <v/>
      </c>
      <c r="K30" s="122">
        <f>Calc!AF31</f>
        <v>6100</v>
      </c>
      <c r="L30" s="122" t="str">
        <f ca="1">IF(Calc!AG31="Gewinn","eventueller Verlust",Calc!AG31)</f>
        <v>NK-Rückzhgen: Partei 10</v>
      </c>
      <c r="M30" s="117" t="str">
        <f ca="1">IF(L30="Total",SUM(M$6:M29)+0.0001,"")</f>
        <v/>
      </c>
      <c r="N30" s="117" t="str">
        <f ca="1">IF(L30="Total",SUM(N$6:N29)+0.0001,"")</f>
        <v/>
      </c>
      <c r="O30" s="75">
        <f ca="1">IF(L30="Total",SUM(O$6:O29)+0.0001,Calc!AH31)</f>
        <v>0</v>
      </c>
      <c r="P30" s="167" t="str">
        <f t="shared" ca="1" si="2"/>
        <v/>
      </c>
      <c r="Q30" s="117" t="str">
        <f ca="1">IF(L30="Total",SUM(Q$6:Q29)+0.0001,"")</f>
        <v/>
      </c>
      <c r="V30">
        <v>1</v>
      </c>
      <c r="W30">
        <f t="shared" ca="1" si="3"/>
        <v>0</v>
      </c>
    </row>
    <row r="31" spans="1:23" ht="15">
      <c r="A31" s="123" t="str">
        <f>Calc!Y32</f>
        <v/>
      </c>
      <c r="B31" s="122">
        <f>Calc!Z32</f>
        <v>3850</v>
      </c>
      <c r="C31" s="122" t="str">
        <f ca="1">IF(Calc!AA32="Verlust","eventueller Gewinn",Calc!AA32)</f>
        <v>Festivitäten</v>
      </c>
      <c r="D31" s="117" t="str">
        <f ca="1">IF(C31="Total",SUM(D$6:D30)+0.0001,"")</f>
        <v/>
      </c>
      <c r="E31" s="117" t="str">
        <f ca="1">IF(C31="Total",SUM(E$6:E30)+0.0001,"")</f>
        <v/>
      </c>
      <c r="F31" s="75">
        <f ca="1">IF(C31="Total",SUM(F$5:F30)+0.0001,Calc!AB32)</f>
        <v>0</v>
      </c>
      <c r="G31" s="167" t="str">
        <f t="shared" ca="1" si="1"/>
        <v/>
      </c>
      <c r="H31" s="173" t="str">
        <f ca="1">IF(C31="Total",SUM(H$6:H30)+0.0001,"")</f>
        <v/>
      </c>
      <c r="I31" s="178"/>
      <c r="J31" s="175" t="str">
        <f>Calc!AE32</f>
        <v/>
      </c>
      <c r="K31" s="122">
        <f>Calc!AF32</f>
        <v>6110</v>
      </c>
      <c r="L31" s="122" t="str">
        <f ca="1">IF(Calc!AG32="Gewinn","eventueller Verlust",Calc!AG32)</f>
        <v>NK-Rückzhgen: Partei 11</v>
      </c>
      <c r="M31" s="117" t="str">
        <f ca="1">IF(L31="Total",SUM(M$6:M30)+0.0001,"")</f>
        <v/>
      </c>
      <c r="N31" s="117" t="str">
        <f ca="1">IF(L31="Total",SUM(N$6:N30)+0.0001,"")</f>
        <v/>
      </c>
      <c r="O31" s="75">
        <f ca="1">IF(L31="Total",SUM(O$6:O30)+0.0001,Calc!AH32)</f>
        <v>0</v>
      </c>
      <c r="P31" s="167" t="str">
        <f t="shared" ca="1" si="2"/>
        <v/>
      </c>
      <c r="Q31" s="117" t="str">
        <f ca="1">IF(L31="Total",SUM(Q$6:Q30)+0.0001,"")</f>
        <v/>
      </c>
      <c r="V31">
        <v>1</v>
      </c>
      <c r="W31">
        <f t="shared" ca="1" si="3"/>
        <v>0</v>
      </c>
    </row>
    <row r="32" spans="1:23" ht="15">
      <c r="A32" s="123" t="str">
        <f>Calc!Y33</f>
        <v/>
      </c>
      <c r="B32" s="122">
        <f>Calc!Z33</f>
        <v>3900</v>
      </c>
      <c r="C32" s="122" t="str">
        <f ca="1">IF(Calc!AA33="Verlust","eventueller Gewinn",Calc!AA33)</f>
        <v>Diverses</v>
      </c>
      <c r="D32" s="117" t="str">
        <f ca="1">IF(C32="Total",SUM(D$6:D31)+0.0001,"")</f>
        <v/>
      </c>
      <c r="E32" s="117" t="str">
        <f ca="1">IF(C32="Total",SUM(E$6:E31)+0.0001,"")</f>
        <v/>
      </c>
      <c r="F32" s="75">
        <f ca="1">IF(C32="Total",SUM(F$5:F31)+0.0001,Calc!AB33)</f>
        <v>0</v>
      </c>
      <c r="G32" s="167" t="str">
        <f t="shared" ca="1" si="1"/>
        <v/>
      </c>
      <c r="H32" s="173" t="str">
        <f ca="1">IF(C32="Total",SUM(H$6:H31)+0.0001,"")</f>
        <v/>
      </c>
      <c r="I32" s="178"/>
      <c r="J32" s="175" t="str">
        <f>Calc!AE33</f>
        <v/>
      </c>
      <c r="K32" s="122">
        <f>Calc!AF33</f>
        <v>6120</v>
      </c>
      <c r="L32" s="122" t="str">
        <f ca="1">IF(Calc!AG33="Gewinn","eventueller Verlust",Calc!AG33)</f>
        <v>NK-Rückzhgen: Partei 12</v>
      </c>
      <c r="M32" s="117" t="str">
        <f ca="1">IF(L32="Total",SUM(M$6:M31)+0.0001,"")</f>
        <v/>
      </c>
      <c r="N32" s="117" t="str">
        <f ca="1">IF(L32="Total",SUM(N$6:N31)+0.0001,"")</f>
        <v/>
      </c>
      <c r="O32" s="75">
        <f ca="1">IF(L32="Total",SUM(O$6:O31)+0.0001,Calc!AH33)</f>
        <v>0</v>
      </c>
      <c r="P32" s="167" t="str">
        <f t="shared" ca="1" si="2"/>
        <v/>
      </c>
      <c r="Q32" s="117" t="str">
        <f ca="1">IF(L32="Total",SUM(Q$6:Q31)+0.0001,"")</f>
        <v/>
      </c>
      <c r="V32">
        <v>1</v>
      </c>
      <c r="W32">
        <f t="shared" ca="1" si="3"/>
        <v>0</v>
      </c>
    </row>
    <row r="33" spans="1:23" ht="15">
      <c r="A33" s="123" t="str">
        <f>Calc!Y34</f>
        <v>NK: Aufteilung nach Whg</v>
      </c>
      <c r="B33" s="122">
        <f>Calc!Z34</f>
        <v>0</v>
      </c>
      <c r="C33" s="122" t="str">
        <f ca="1">IF(Calc!AA34="Verlust","eventueller Gewinn",Calc!AA34)</f>
        <v/>
      </c>
      <c r="D33" s="117" t="str">
        <f ca="1">IF(C33="Total",SUM(D$6:D32)+0.0001,"")</f>
        <v/>
      </c>
      <c r="E33" s="117" t="str">
        <f ca="1">IF(C33="Total",SUM(E$6:E32)+0.0001,"")</f>
        <v/>
      </c>
      <c r="F33" s="75">
        <f ca="1">IF(C33="Total",SUM(F$5:F32)+0.0001,Calc!AB34)</f>
        <v>0</v>
      </c>
      <c r="G33" s="167" t="str">
        <f t="shared" ca="1" si="1"/>
        <v/>
      </c>
      <c r="H33" s="173" t="str">
        <f ca="1">IF(C33="Total",SUM(H$6:H32)+0.0001,"")</f>
        <v/>
      </c>
      <c r="I33" s="178"/>
      <c r="J33" s="175" t="str">
        <f>Calc!AE34</f>
        <v>Eröffnung</v>
      </c>
      <c r="K33" s="122">
        <f>Calc!AF34</f>
        <v>0</v>
      </c>
      <c r="L33" s="122" t="str">
        <f ca="1">IF(Calc!AG34="Gewinn","eventueller Verlust",Calc!AG34)</f>
        <v/>
      </c>
      <c r="M33" s="117" t="str">
        <f ca="1">IF(L33="Total",SUM(M$6:M32)+0.0001,"")</f>
        <v/>
      </c>
      <c r="N33" s="117" t="str">
        <f ca="1">IF(L33="Total",SUM(N$6:N32)+0.0001,"")</f>
        <v/>
      </c>
      <c r="O33" s="75">
        <f ca="1">IF(L33="Total",SUM(O$6:O32)+0.0001,Calc!AH34)</f>
        <v>0</v>
      </c>
      <c r="P33" s="167" t="str">
        <f t="shared" ca="1" si="2"/>
        <v/>
      </c>
      <c r="Q33" s="117" t="str">
        <f ca="1">IF(L33="Total",SUM(Q$6:Q32)+0.0001,"")</f>
        <v/>
      </c>
      <c r="V33">
        <v>1</v>
      </c>
      <c r="W33">
        <f t="shared" ca="1" si="3"/>
        <v>0</v>
      </c>
    </row>
    <row r="34" spans="1:23" ht="15">
      <c r="A34" s="123" t="str">
        <f>Calc!Y35</f>
        <v/>
      </c>
      <c r="B34" s="122">
        <f>Calc!Z35</f>
        <v>4000</v>
      </c>
      <c r="C34" s="122" t="str">
        <f ca="1">IF(Calc!AA35="Verlust","eventueller Gewinn",Calc!AA35)</f>
        <v>Gebühren Cablecom</v>
      </c>
      <c r="D34" s="117" t="str">
        <f ca="1">IF(C34="Total",SUM(D$6:D33)+0.0001,"")</f>
        <v/>
      </c>
      <c r="E34" s="117" t="str">
        <f ca="1">IF(C34="Total",SUM(E$6:E33)+0.0001,"")</f>
        <v/>
      </c>
      <c r="F34" s="75">
        <f ca="1">IF(C34="Total",SUM(F$5:F33)+0.0001,Calc!AB35)</f>
        <v>0</v>
      </c>
      <c r="G34" s="167" t="str">
        <f t="shared" ca="1" si="1"/>
        <v/>
      </c>
      <c r="H34" s="173" t="str">
        <f ca="1">IF(C34="Total",SUM(H$6:H33)+0.0001,"")</f>
        <v/>
      </c>
      <c r="I34" s="178"/>
      <c r="J34" s="175" t="str">
        <f>Calc!AE35</f>
        <v/>
      </c>
      <c r="K34" s="122">
        <f>Calc!AF35</f>
        <v>9999</v>
      </c>
      <c r="L34" s="122" t="str">
        <f ca="1">IF(Calc!AG35="Gewinn","eventueller Verlust",Calc!AG35)</f>
        <v>Eröffnungskonto</v>
      </c>
      <c r="M34" s="117" t="str">
        <f ca="1">IF(L34="Total",SUM(M$6:M33)+0.0001,"")</f>
        <v/>
      </c>
      <c r="N34" s="117" t="str">
        <f ca="1">IF(L34="Total",SUM(N$6:N33)+0.0001,"")</f>
        <v/>
      </c>
      <c r="O34" s="75">
        <f ca="1">IF(L34="Total",SUM(O$6:O33)+0.0001,Calc!AH35)</f>
        <v>0</v>
      </c>
      <c r="P34" s="167" t="str">
        <f t="shared" ca="1" si="2"/>
        <v/>
      </c>
      <c r="Q34" s="117" t="str">
        <f ca="1">IF(L34="Total",SUM(Q$6:Q33)+0.0001,"")</f>
        <v/>
      </c>
      <c r="V34">
        <v>1</v>
      </c>
      <c r="W34">
        <f t="shared" ca="1" si="3"/>
        <v>0</v>
      </c>
    </row>
    <row r="35" spans="1:23" ht="15">
      <c r="A35" s="123" t="str">
        <f>Calc!Y36</f>
        <v/>
      </c>
      <c r="B35" s="122">
        <f>Calc!Z36</f>
        <v>4100</v>
      </c>
      <c r="C35" s="122" t="str">
        <f ca="1">IF(Calc!AA36="Verlust","eventueller Gewinn",Calc!AA36)</f>
        <v>Kehrrichtgebühren</v>
      </c>
      <c r="D35" s="117" t="str">
        <f ca="1">IF(C35="Total",SUM(D$6:D34)+0.0001,"")</f>
        <v/>
      </c>
      <c r="E35" s="117" t="str">
        <f ca="1">IF(C35="Total",SUM(E$6:E34)+0.0001,"")</f>
        <v/>
      </c>
      <c r="F35" s="75">
        <f ca="1">IF(C35="Total",SUM(F$5:F34)+0.0001,Calc!AB36)</f>
        <v>0</v>
      </c>
      <c r="G35" s="167" t="str">
        <f t="shared" ca="1" si="1"/>
        <v/>
      </c>
      <c r="H35" s="173" t="str">
        <f ca="1">IF(C35="Total",SUM(H$6:H34)+0.0001,"")</f>
        <v/>
      </c>
      <c r="I35" s="178"/>
      <c r="J35" s="175">
        <f>Calc!AE36</f>
        <v>0</v>
      </c>
      <c r="K35" s="122">
        <f>Calc!AF36</f>
        <v>0</v>
      </c>
      <c r="L35" s="122" t="str">
        <f ca="1">IF(Calc!AG36="Gewinn","eventueller Verlust",Calc!AG36)</f>
        <v/>
      </c>
      <c r="M35" s="117" t="str">
        <f ca="1">IF(L35="Total",SUM(M$6:M34)+0.0001,"")</f>
        <v/>
      </c>
      <c r="N35" s="117" t="str">
        <f ca="1">IF(L35="Total",SUM(N$6:N34)+0.0001,"")</f>
        <v/>
      </c>
      <c r="O35" s="75">
        <f ca="1">IF(L35="Total",SUM(O$6:O34)+0.0001,Calc!AH36)</f>
        <v>0</v>
      </c>
      <c r="P35" s="167" t="str">
        <f t="shared" ca="1" si="2"/>
        <v/>
      </c>
      <c r="Q35" s="117" t="str">
        <f ca="1">IF(L35="Total",SUM(Q$6:Q34)+0.0001,"")</f>
        <v/>
      </c>
      <c r="V35">
        <v>1</v>
      </c>
      <c r="W35">
        <f t="shared" ca="1" si="3"/>
        <v>0</v>
      </c>
    </row>
    <row r="36" spans="1:23" ht="15">
      <c r="A36" s="123" t="str">
        <f>Calc!Y37</f>
        <v/>
      </c>
      <c r="B36" s="122">
        <f>Calc!Z37</f>
        <v>4200</v>
      </c>
      <c r="C36" s="122" t="str">
        <f ca="1">IF(Calc!AA37="Verlust","eventueller Gewinn",Calc!AA37)</f>
        <v>Erstellen Heizkostenabrchg</v>
      </c>
      <c r="D36" s="117" t="str">
        <f ca="1">IF(C36="Total",SUM(D$6:D35)+0.0001,"")</f>
        <v/>
      </c>
      <c r="E36" s="117" t="str">
        <f ca="1">IF(C36="Total",SUM(E$6:E35)+0.0001,"")</f>
        <v/>
      </c>
      <c r="F36" s="75">
        <f ca="1">IF(C36="Total",SUM(F$5:F35)+0.0001,Calc!AB37)</f>
        <v>0</v>
      </c>
      <c r="G36" s="167" t="str">
        <f t="shared" ca="1" si="1"/>
        <v/>
      </c>
      <c r="H36" s="173" t="str">
        <f ca="1">IF(C36="Total",SUM(H$6:H35)+0.0001,"")</f>
        <v/>
      </c>
      <c r="I36" s="178"/>
      <c r="J36" s="175">
        <f>Calc!AE37</f>
        <v>0</v>
      </c>
      <c r="K36" s="122">
        <f>Calc!AF37</f>
        <v>0</v>
      </c>
      <c r="L36" s="122" t="str">
        <f ca="1">IF(Calc!AG37="Gewinn","eventueller Verlust",Calc!AG37)</f>
        <v/>
      </c>
      <c r="M36" s="117" t="str">
        <f ca="1">IF(L36="Total",SUM(M$6:M35)+0.0001,"")</f>
        <v/>
      </c>
      <c r="N36" s="117" t="str">
        <f ca="1">IF(L36="Total",SUM(N$6:N35)+0.0001,"")</f>
        <v/>
      </c>
      <c r="O36" s="75">
        <f ca="1">IF(L36="Total",SUM(O$6:O35)+0.0001,Calc!AH37)</f>
        <v>0</v>
      </c>
      <c r="P36" s="167" t="str">
        <f t="shared" ca="1" si="2"/>
        <v/>
      </c>
      <c r="Q36" s="117" t="str">
        <f ca="1">IF(L36="Total",SUM(Q$6:Q35)+0.0001,"")</f>
        <v/>
      </c>
      <c r="V36">
        <v>1</v>
      </c>
      <c r="W36">
        <f t="shared" ca="1" si="3"/>
        <v>0</v>
      </c>
    </row>
    <row r="37" spans="1:23" ht="15">
      <c r="A37" s="123">
        <f>Calc!Y38</f>
        <v>0</v>
      </c>
      <c r="B37" s="122">
        <f>Calc!Z38</f>
        <v>0</v>
      </c>
      <c r="C37" s="122" t="str">
        <f ca="1">IF(Calc!AA38="Verlust","eventueller Gewinn",Calc!AA38)</f>
        <v>Gewinn</v>
      </c>
      <c r="D37" s="117" t="str">
        <f ca="1">IF(C37="Total",SUM(D$6:D36)+0.0001,"")</f>
        <v/>
      </c>
      <c r="E37" s="117" t="str">
        <f ca="1">IF(C37="Total",SUM(E$6:E36)+0.0001,"")</f>
        <v/>
      </c>
      <c r="F37" s="75">
        <f ca="1">IF(C37="Total",SUM(F$5:F36)+0.0001,Calc!AB38)</f>
        <v>0</v>
      </c>
      <c r="G37" s="167" t="str">
        <f t="shared" ca="1" si="1"/>
        <v/>
      </c>
      <c r="H37" s="173" t="str">
        <f ca="1">IF(C37="Total",SUM(H$6:H36)+0.0001,"")</f>
        <v/>
      </c>
      <c r="I37" s="178"/>
      <c r="J37" s="175">
        <f>Calc!AE38</f>
        <v>0</v>
      </c>
      <c r="K37" s="122">
        <f>Calc!AF38</f>
        <v>0</v>
      </c>
      <c r="L37" s="122" t="str">
        <f ca="1">IF(Calc!AG38="Gewinn","eventueller Verlust",Calc!AG38)</f>
        <v>eventueller Verlust</v>
      </c>
      <c r="M37" s="117" t="str">
        <f ca="1">IF(L37="Total",SUM(M$6:M36)+0.0001,"")</f>
        <v/>
      </c>
      <c r="N37" s="117" t="str">
        <f ca="1">IF(L37="Total",SUM(N$6:N36)+0.0001,"")</f>
        <v/>
      </c>
      <c r="O37" s="75">
        <f ca="1">IF(L37="Total",SUM(O$6:O36)+0.0001,Calc!AH38)</f>
        <v>0</v>
      </c>
      <c r="P37" s="167" t="str">
        <f t="shared" ca="1" si="2"/>
        <v/>
      </c>
      <c r="Q37" s="117" t="str">
        <f ca="1">IF(L37="Total",SUM(Q$6:Q36)+0.0001,"")</f>
        <v/>
      </c>
      <c r="V37">
        <v>1</v>
      </c>
      <c r="W37">
        <f t="shared" ca="1" si="3"/>
        <v>0</v>
      </c>
    </row>
    <row r="38" spans="1:23" ht="15">
      <c r="A38" s="123">
        <f>Calc!Y39</f>
        <v>0</v>
      </c>
      <c r="B38" s="122">
        <f>Calc!Z39</f>
        <v>0</v>
      </c>
      <c r="C38" s="122" t="str">
        <f ca="1">IF(Calc!AA39="Verlust","eventueller Gewinn",Calc!AA39)</f>
        <v>Total</v>
      </c>
      <c r="D38" s="117">
        <f ca="1">IF(C38="Total",SUM(D$6:D37)+0.0001,"")</f>
        <v>1E-4</v>
      </c>
      <c r="E38" s="117">
        <f ca="1">IF(C38="Total",SUM(E$6:E37)+0.0001,"")</f>
        <v>1E-4</v>
      </c>
      <c r="F38" s="75">
        <f ca="1">IF(C38="Total",SUM(F$5:F37)+0.0001,Calc!AB39)</f>
        <v>1E-4</v>
      </c>
      <c r="G38" s="167">
        <f t="shared" ca="1" si="1"/>
        <v>0</v>
      </c>
      <c r="H38" s="173">
        <f ca="1">IF(C38="Total",SUM(H$6:H37)+0.0001,"")</f>
        <v>1E-4</v>
      </c>
      <c r="I38" s="178"/>
      <c r="J38" s="175">
        <f>Calc!AE39</f>
        <v>0</v>
      </c>
      <c r="K38" s="122">
        <f>Calc!AF39</f>
        <v>0</v>
      </c>
      <c r="L38" s="122" t="str">
        <f ca="1">IF(Calc!AG39="Gewinn","eventueller Verlust",Calc!AG39)</f>
        <v>Total</v>
      </c>
      <c r="M38" s="117">
        <f ca="1">IF(L38="Total",SUM(M$6:M37)+0.0001,"")</f>
        <v>1E-4</v>
      </c>
      <c r="N38" s="117">
        <f ca="1">IF(L38="Total",SUM(N$6:N37)+0.0001,"")</f>
        <v>1E-4</v>
      </c>
      <c r="O38" s="75">
        <f ca="1">IF(L38="Total",SUM(O$6:O37)+0.0001,Calc!AH39)</f>
        <v>1E-4</v>
      </c>
      <c r="P38" s="167">
        <f t="shared" ca="1" si="2"/>
        <v>0</v>
      </c>
      <c r="Q38" s="117">
        <f ca="1">IF(L38="Total",SUM(Q$6:Q37)+0.0001,"")</f>
        <v>1E-4</v>
      </c>
      <c r="V38">
        <v>1</v>
      </c>
      <c r="W38">
        <f t="shared" ca="1" si="3"/>
        <v>1</v>
      </c>
    </row>
    <row r="39" spans="1:23" ht="15">
      <c r="A39" s="123">
        <f>Calc!Y40</f>
        <v>0</v>
      </c>
      <c r="B39" s="122">
        <f>Calc!Z40</f>
        <v>0</v>
      </c>
      <c r="C39" s="122" t="str">
        <f ca="1">IF(Calc!AA40="Verlust","eventueller Gewinn",Calc!AA40)</f>
        <v/>
      </c>
      <c r="D39" s="117" t="str">
        <f ca="1">IF(C39="Total",SUM(D$6:D38)+0.0001,"")</f>
        <v/>
      </c>
      <c r="E39" s="117" t="str">
        <f ca="1">IF(C39="Total",SUM(E$6:E38)+0.0001,"")</f>
        <v/>
      </c>
      <c r="F39" s="75" t="str">
        <f ca="1">IF(C39="Total",SUM(F$5:F38)+0.0001,Calc!AB40)</f>
        <v/>
      </c>
      <c r="G39" s="167" t="str">
        <f t="shared" ca="1" si="1"/>
        <v/>
      </c>
      <c r="H39" s="173" t="str">
        <f ca="1">IF(C39="Total",SUM(H$6:H38)+0.0001,"")</f>
        <v/>
      </c>
      <c r="I39" s="178"/>
      <c r="J39" s="175">
        <f>Calc!AE40</f>
        <v>0</v>
      </c>
      <c r="K39" s="122">
        <f>Calc!AF40</f>
        <v>0</v>
      </c>
      <c r="L39" s="122" t="str">
        <f ca="1">IF(Calc!AG40="Gewinn","eventueller Verlust",Calc!AG40)</f>
        <v/>
      </c>
      <c r="M39" s="117" t="str">
        <f ca="1">IF(L39="Total",SUM(M$6:M38)+0.0001,"")</f>
        <v/>
      </c>
      <c r="N39" s="117" t="str">
        <f ca="1">IF(L39="Total",SUM(N$6:N38)+0.0001,"")</f>
        <v/>
      </c>
      <c r="O39" s="75" t="str">
        <f ca="1">IF(L39="Total",SUM(O$6:O38)+0.0001,Calc!AH40)</f>
        <v/>
      </c>
      <c r="P39" s="167" t="str">
        <f t="shared" ca="1" si="2"/>
        <v/>
      </c>
      <c r="Q39" s="117" t="str">
        <f ca="1">IF(L39="Total",SUM(Q$6:Q38)+0.0001,"")</f>
        <v/>
      </c>
      <c r="V39">
        <v>1</v>
      </c>
      <c r="W39">
        <f t="shared" ca="1" si="3"/>
        <v>0</v>
      </c>
    </row>
    <row r="40" spans="1:23" ht="15">
      <c r="A40" s="123">
        <f>Calc!Y41</f>
        <v>0</v>
      </c>
      <c r="B40" s="122">
        <f>Calc!Z41</f>
        <v>0</v>
      </c>
      <c r="C40" s="122" t="str">
        <f ca="1">IF(Calc!AA41="Verlust","eventueller Gewinn",Calc!AA41)</f>
        <v/>
      </c>
      <c r="D40" s="117" t="str">
        <f ca="1">IF(C40="Total",SUM(D$6:D39)+0.0001,"")</f>
        <v/>
      </c>
      <c r="E40" s="117" t="str">
        <f ca="1">IF(C40="Total",SUM(E$6:E39)+0.0001,"")</f>
        <v/>
      </c>
      <c r="F40" s="75" t="str">
        <f ca="1">IF(C40="Total",SUM(F$5:F39)+0.0001,Calc!AB41)</f>
        <v/>
      </c>
      <c r="G40" s="167" t="str">
        <f t="shared" ca="1" si="1"/>
        <v/>
      </c>
      <c r="H40" s="173" t="str">
        <f ca="1">IF(C40="Total",SUM(H$6:H39)+0.0001,"")</f>
        <v/>
      </c>
      <c r="I40" s="178"/>
      <c r="J40" s="175">
        <f>Calc!AE41</f>
        <v>0</v>
      </c>
      <c r="K40" s="122">
        <f>Calc!AF41</f>
        <v>0</v>
      </c>
      <c r="L40" s="122" t="str">
        <f ca="1">IF(Calc!AG41="Gewinn","eventueller Verlust",Calc!AG41)</f>
        <v/>
      </c>
      <c r="M40" s="117" t="str">
        <f ca="1">IF(L40="Total",SUM(M$6:M39)+0.0001,"")</f>
        <v/>
      </c>
      <c r="N40" s="117" t="str">
        <f ca="1">IF(L40="Total",SUM(N$6:N39)+0.0001,"")</f>
        <v/>
      </c>
      <c r="O40" s="75" t="str">
        <f ca="1">IF(L40="Total",SUM(O$6:O39)+0.0001,Calc!AH41)</f>
        <v/>
      </c>
      <c r="P40" s="167" t="str">
        <f t="shared" ca="1" si="2"/>
        <v/>
      </c>
      <c r="Q40" s="117" t="str">
        <f ca="1">IF(L40="Total",SUM(Q$6:Q39)+0.0001,"")</f>
        <v/>
      </c>
      <c r="V40">
        <v>1</v>
      </c>
      <c r="W40">
        <f t="shared" ca="1" si="3"/>
        <v>0</v>
      </c>
    </row>
    <row r="41" spans="1:23" ht="15">
      <c r="A41" s="123">
        <f>Calc!Y42</f>
        <v>0</v>
      </c>
      <c r="B41" s="122">
        <f>Calc!Z42</f>
        <v>0</v>
      </c>
      <c r="C41" s="122" t="str">
        <f ca="1">IF(Calc!AA42="Verlust","eventueller Gewinn",Calc!AA42)</f>
        <v/>
      </c>
      <c r="D41" s="117" t="str">
        <f ca="1">IF(C41="Total",SUM(D$6:D40)+0.0001,"")</f>
        <v/>
      </c>
      <c r="E41" s="117" t="str">
        <f ca="1">IF(C41="Total",SUM(E$6:E40)+0.0001,"")</f>
        <v/>
      </c>
      <c r="F41" s="75" t="str">
        <f ca="1">IF(C41="Total",SUM(F$5:F40)+0.0001,Calc!AB42)</f>
        <v/>
      </c>
      <c r="G41" s="167" t="str">
        <f t="shared" ca="1" si="1"/>
        <v/>
      </c>
      <c r="H41" s="173" t="str">
        <f ca="1">IF(C41="Total",SUM(H$6:H40)+0.0001,"")</f>
        <v/>
      </c>
      <c r="I41" s="178"/>
      <c r="J41" s="175">
        <f>Calc!AE42</f>
        <v>0</v>
      </c>
      <c r="K41" s="122">
        <f>Calc!AF42</f>
        <v>0</v>
      </c>
      <c r="L41" s="122" t="str">
        <f ca="1">IF(Calc!AG42="Gewinn","eventueller Verlust",Calc!AG42)</f>
        <v/>
      </c>
      <c r="M41" s="117" t="str">
        <f ca="1">IF(L41="Total",SUM(M$6:M40)+0.0001,"")</f>
        <v/>
      </c>
      <c r="N41" s="117" t="str">
        <f ca="1">IF(L41="Total",SUM(N$6:N40)+0.0001,"")</f>
        <v/>
      </c>
      <c r="O41" s="75" t="str">
        <f ca="1">IF(L41="Total",SUM(O$6:O40)+0.0001,Calc!AH42)</f>
        <v/>
      </c>
      <c r="P41" s="167" t="str">
        <f t="shared" ca="1" si="2"/>
        <v/>
      </c>
      <c r="Q41" s="117" t="str">
        <f ca="1">IF(L41="Total",SUM(Q$6:Q40)+0.0001,"")</f>
        <v/>
      </c>
      <c r="V41">
        <v>1</v>
      </c>
      <c r="W41">
        <f t="shared" ca="1" si="3"/>
        <v>0</v>
      </c>
    </row>
    <row r="42" spans="1:23" ht="15">
      <c r="A42" s="123">
        <f>Calc!Y43</f>
        <v>0</v>
      </c>
      <c r="B42" s="122">
        <f>Calc!Z43</f>
        <v>0</v>
      </c>
      <c r="C42" s="122" t="str">
        <f ca="1">IF(Calc!AA43="Verlust","eventueller Gewinn",Calc!AA43)</f>
        <v/>
      </c>
      <c r="D42" s="117" t="str">
        <f ca="1">IF(C42="Total",SUM(D$6:D41)+0.0001,"")</f>
        <v/>
      </c>
      <c r="E42" s="117" t="str">
        <f ca="1">IF(C42="Total",SUM(E$6:E41)+0.0001,"")</f>
        <v/>
      </c>
      <c r="F42" s="75" t="str">
        <f ca="1">IF(C42="Total",SUM(F$5:F41)+0.0001,Calc!AB43)</f>
        <v/>
      </c>
      <c r="G42" s="167" t="str">
        <f t="shared" ca="1" si="1"/>
        <v/>
      </c>
      <c r="H42" s="173" t="str">
        <f ca="1">IF(C42="Total",SUM(H$6:H41)+0.0001,"")</f>
        <v/>
      </c>
      <c r="I42" s="178"/>
      <c r="J42" s="175">
        <f>Calc!AE43</f>
        <v>0</v>
      </c>
      <c r="K42" s="122">
        <f>Calc!AF43</f>
        <v>0</v>
      </c>
      <c r="L42" s="122" t="str">
        <f ca="1">IF(Calc!AG43="Gewinn","eventueller Verlust",Calc!AG43)</f>
        <v/>
      </c>
      <c r="M42" s="117" t="str">
        <f ca="1">IF(L42="Total",SUM(M$6:M41)+0.0001,"")</f>
        <v/>
      </c>
      <c r="N42" s="117" t="str">
        <f ca="1">IF(L42="Total",SUM(N$6:N41)+0.0001,"")</f>
        <v/>
      </c>
      <c r="O42" s="75" t="str">
        <f ca="1">IF(L42="Total",SUM(O$6:O41)+0.0001,Calc!AH43)</f>
        <v/>
      </c>
      <c r="P42" s="167" t="str">
        <f t="shared" ca="1" si="2"/>
        <v/>
      </c>
      <c r="Q42" s="117" t="str">
        <f ca="1">IF(L42="Total",SUM(Q$6:Q41)+0.0001,"")</f>
        <v/>
      </c>
      <c r="V42">
        <v>1</v>
      </c>
      <c r="W42">
        <f t="shared" ca="1" si="3"/>
        <v>0</v>
      </c>
    </row>
    <row r="43" spans="1:23" ht="15">
      <c r="A43" s="123">
        <f>Calc!Y44</f>
        <v>0</v>
      </c>
      <c r="B43" s="122">
        <f>Calc!Z44</f>
        <v>0</v>
      </c>
      <c r="C43" s="122" t="str">
        <f ca="1">IF(Calc!AA44="Verlust","eventueller Gewinn",Calc!AA44)</f>
        <v/>
      </c>
      <c r="D43" s="117" t="str">
        <f ca="1">IF(C43="Total",SUM(D$6:D42)+0.0001,"")</f>
        <v/>
      </c>
      <c r="E43" s="117" t="str">
        <f ca="1">IF(C43="Total",SUM(E$6:E42)+0.0001,"")</f>
        <v/>
      </c>
      <c r="F43" s="75" t="str">
        <f ca="1">IF(C43="Total",SUM(F$5:F42)+0.0001,Calc!AB44)</f>
        <v/>
      </c>
      <c r="G43" s="167" t="str">
        <f t="shared" ca="1" si="1"/>
        <v/>
      </c>
      <c r="H43" s="173" t="str">
        <f ca="1">IF(C43="Total",SUM(H$6:H42)+0.0001,"")</f>
        <v/>
      </c>
      <c r="I43" s="178"/>
      <c r="J43" s="175">
        <f>Calc!AE44</f>
        <v>0</v>
      </c>
      <c r="K43" s="122">
        <f>Calc!AF44</f>
        <v>0</v>
      </c>
      <c r="L43" s="122" t="str">
        <f ca="1">IF(Calc!AG44="Gewinn","eventueller Verlust",Calc!AG44)</f>
        <v/>
      </c>
      <c r="M43" s="117" t="str">
        <f ca="1">IF(L43="Total",SUM(M$6:M42)+0.0001,"")</f>
        <v/>
      </c>
      <c r="N43" s="117" t="str">
        <f ca="1">IF(L43="Total",SUM(N$6:N42)+0.0001,"")</f>
        <v/>
      </c>
      <c r="O43" s="75" t="str">
        <f ca="1">IF(L43="Total",SUM(O$6:O42)+0.0001,Calc!AH44)</f>
        <v/>
      </c>
      <c r="P43" s="167" t="str">
        <f t="shared" ca="1" si="2"/>
        <v/>
      </c>
      <c r="Q43" s="117" t="str">
        <f ca="1">IF(L43="Total",SUM(Q$6:Q42)+0.0001,"")</f>
        <v/>
      </c>
      <c r="V43">
        <v>1</v>
      </c>
      <c r="W43">
        <f t="shared" ca="1" si="3"/>
        <v>0</v>
      </c>
    </row>
    <row r="44" spans="1:23" ht="15">
      <c r="A44" s="123">
        <f>Calc!Y45</f>
        <v>0</v>
      </c>
      <c r="B44" s="122">
        <f>Calc!Z45</f>
        <v>0</v>
      </c>
      <c r="C44" s="122" t="str">
        <f ca="1">IF(Calc!AA45="Verlust","eventueller Gewinn",Calc!AA45)</f>
        <v/>
      </c>
      <c r="D44" s="117" t="str">
        <f ca="1">IF(C44="Total",SUM(D$6:D43)+0.0001,"")</f>
        <v/>
      </c>
      <c r="E44" s="117" t="str">
        <f ca="1">IF(C44="Total",SUM(E$6:E43)+0.0001,"")</f>
        <v/>
      </c>
      <c r="F44" s="75" t="str">
        <f ca="1">IF(C44="Total",SUM(F$5:F43)+0.0001,Calc!AB45)</f>
        <v/>
      </c>
      <c r="G44" s="167" t="str">
        <f t="shared" ca="1" si="1"/>
        <v/>
      </c>
      <c r="H44" s="173" t="str">
        <f ca="1">IF(C44="Total",SUM(H$6:H43)+0.0001,"")</f>
        <v/>
      </c>
      <c r="I44" s="178"/>
      <c r="J44" s="175">
        <f>Calc!AE45</f>
        <v>0</v>
      </c>
      <c r="K44" s="122">
        <f>Calc!AF45</f>
        <v>0</v>
      </c>
      <c r="L44" s="122" t="str">
        <f ca="1">IF(Calc!AG45="Gewinn","eventueller Verlust",Calc!AG45)</f>
        <v/>
      </c>
      <c r="M44" s="117" t="str">
        <f ca="1">IF(L44="Total",SUM(M$6:M43)+0.0001,"")</f>
        <v/>
      </c>
      <c r="N44" s="117" t="str">
        <f ca="1">IF(L44="Total",SUM(N$6:N43)+0.0001,"")</f>
        <v/>
      </c>
      <c r="O44" s="75" t="str">
        <f ca="1">IF(L44="Total",SUM(O$6:O43)+0.0001,Calc!AH45)</f>
        <v/>
      </c>
      <c r="P44" s="167" t="str">
        <f t="shared" ca="1" si="2"/>
        <v/>
      </c>
      <c r="Q44" s="117" t="str">
        <f ca="1">IF(L44="Total",SUM(Q$6:Q43)+0.0001,"")</f>
        <v/>
      </c>
      <c r="V44">
        <v>1</v>
      </c>
      <c r="W44">
        <f t="shared" ca="1" si="3"/>
        <v>0</v>
      </c>
    </row>
    <row r="45" spans="1:23" ht="15">
      <c r="A45" s="123">
        <f>Calc!Y46</f>
        <v>0</v>
      </c>
      <c r="B45" s="122">
        <f>Calc!Z46</f>
        <v>0</v>
      </c>
      <c r="C45" s="122" t="str">
        <f ca="1">IF(Calc!AA46="Verlust","eventueller Gewinn",Calc!AA46)</f>
        <v/>
      </c>
      <c r="D45" s="117" t="str">
        <f ca="1">IF(C45="Total",SUM(D$6:D44)+0.0001,"")</f>
        <v/>
      </c>
      <c r="E45" s="117" t="str">
        <f ca="1">IF(C45="Total",SUM(E$6:E44)+0.0001,"")</f>
        <v/>
      </c>
      <c r="F45" s="75" t="str">
        <f ca="1">IF(C45="Total",SUM(F$5:F44)+0.0001,Calc!AB46)</f>
        <v/>
      </c>
      <c r="G45" s="167" t="str">
        <f t="shared" ca="1" si="1"/>
        <v/>
      </c>
      <c r="H45" s="173" t="str">
        <f ca="1">IF(C45="Total",SUM(H$6:H44)+0.0001,"")</f>
        <v/>
      </c>
      <c r="I45" s="178"/>
      <c r="J45" s="175">
        <f>Calc!AE46</f>
        <v>0</v>
      </c>
      <c r="K45" s="122">
        <f>Calc!AF46</f>
        <v>0</v>
      </c>
      <c r="L45" s="122" t="str">
        <f ca="1">IF(Calc!AG46="Gewinn","eventueller Verlust",Calc!AG46)</f>
        <v/>
      </c>
      <c r="M45" s="117" t="str">
        <f ca="1">IF(L45="Total",SUM(M$6:M44)+0.0001,"")</f>
        <v/>
      </c>
      <c r="N45" s="117" t="str">
        <f ca="1">IF(L45="Total",SUM(N$6:N44)+0.0001,"")</f>
        <v/>
      </c>
      <c r="O45" s="75" t="str">
        <f ca="1">IF(L45="Total",SUM(O$6:O44)+0.0001,Calc!AH46)</f>
        <v/>
      </c>
      <c r="P45" s="167" t="str">
        <f t="shared" ca="1" si="2"/>
        <v/>
      </c>
      <c r="Q45" s="117" t="str">
        <f ca="1">IF(L45="Total",SUM(Q$6:Q44)+0.0001,"")</f>
        <v/>
      </c>
      <c r="V45">
        <v>1</v>
      </c>
      <c r="W45">
        <f t="shared" ca="1" si="3"/>
        <v>0</v>
      </c>
    </row>
    <row r="46" spans="1:23" ht="15">
      <c r="A46" s="123">
        <f>Calc!Y47</f>
        <v>0</v>
      </c>
      <c r="B46" s="122">
        <f>Calc!Z47</f>
        <v>0</v>
      </c>
      <c r="C46" s="122" t="str">
        <f ca="1">IF(Calc!AA47="Verlust","eventueller Gewinn",Calc!AA47)</f>
        <v/>
      </c>
      <c r="D46" s="117" t="str">
        <f ca="1">IF(C46="Total",SUM(D$6:D45)+0.0001,"")</f>
        <v/>
      </c>
      <c r="E46" s="117" t="str">
        <f ca="1">IF(C46="Total",SUM(E$6:E45)+0.0001,"")</f>
        <v/>
      </c>
      <c r="F46" s="75" t="str">
        <f ca="1">IF(C46="Total",SUM(F$5:F45)+0.0001,Calc!AB47)</f>
        <v/>
      </c>
      <c r="G46" s="167" t="str">
        <f t="shared" ca="1" si="1"/>
        <v/>
      </c>
      <c r="H46" s="173" t="str">
        <f ca="1">IF(C46="Total",SUM(H$6:H45)+0.0001,"")</f>
        <v/>
      </c>
      <c r="I46" s="178"/>
      <c r="J46" s="175">
        <f>Calc!AE47</f>
        <v>0</v>
      </c>
      <c r="K46" s="122">
        <f>Calc!AF47</f>
        <v>0</v>
      </c>
      <c r="L46" s="122" t="str">
        <f ca="1">IF(Calc!AG47="Gewinn","eventueller Verlust",Calc!AG47)</f>
        <v/>
      </c>
      <c r="M46" s="117" t="str">
        <f ca="1">IF(L46="Total",SUM(M$6:M45)+0.0001,"")</f>
        <v/>
      </c>
      <c r="N46" s="117" t="str">
        <f ca="1">IF(L46="Total",SUM(N$6:N45)+0.0001,"")</f>
        <v/>
      </c>
      <c r="O46" s="75" t="str">
        <f ca="1">IF(L46="Total",SUM(O$6:O45)+0.0001,Calc!AH47)</f>
        <v/>
      </c>
      <c r="P46" s="167" t="str">
        <f t="shared" ca="1" si="2"/>
        <v/>
      </c>
      <c r="Q46" s="117" t="str">
        <f ca="1">IF(L46="Total",SUM(Q$6:Q45)+0.0001,"")</f>
        <v/>
      </c>
      <c r="S46" s="110" t="str">
        <f ca="1">D46</f>
        <v/>
      </c>
      <c r="V46">
        <v>1</v>
      </c>
      <c r="W46">
        <f t="shared" ca="1" si="3"/>
        <v>0</v>
      </c>
    </row>
    <row r="47" spans="1:23" ht="15">
      <c r="A47" s="123">
        <f>Calc!Y48</f>
        <v>0</v>
      </c>
      <c r="B47" s="122">
        <f>Calc!Z48</f>
        <v>0</v>
      </c>
      <c r="C47" s="122" t="str">
        <f ca="1">IF(Calc!AA48="Verlust","eventueller Gewinn",Calc!AA48)</f>
        <v/>
      </c>
      <c r="D47" s="117" t="str">
        <f ca="1">IF(C47="Total",SUM(D$6:D46)+0.0001,"")</f>
        <v/>
      </c>
      <c r="E47" s="117" t="str">
        <f ca="1">IF(C47="Total",SUM(E$6:E46)+0.0001,"")</f>
        <v/>
      </c>
      <c r="F47" s="75" t="str">
        <f ca="1">IF(C47="Total",SUM(F$5:F46)+0.0001,Calc!AB48)</f>
        <v/>
      </c>
      <c r="G47" s="167" t="str">
        <f t="shared" ca="1" si="1"/>
        <v/>
      </c>
      <c r="H47" s="173" t="str">
        <f ca="1">IF(C47="Total",SUM(H$6:H46)+0.0001,"")</f>
        <v/>
      </c>
      <c r="I47" s="178"/>
      <c r="J47" s="175">
        <f>Calc!AE48</f>
        <v>0</v>
      </c>
      <c r="K47" s="122">
        <f>Calc!AF48</f>
        <v>0</v>
      </c>
      <c r="L47" s="122" t="str">
        <f ca="1">IF(Calc!AG48="Gewinn","eventueller Verlust",Calc!AG48)</f>
        <v/>
      </c>
      <c r="M47" s="117" t="str">
        <f ca="1">IF(L47="Total",SUM(M$6:M46)+0.0001,"")</f>
        <v/>
      </c>
      <c r="N47" s="117" t="str">
        <f ca="1">IF(L47="Total",SUM(N$6:N46)+0.0001,"")</f>
        <v/>
      </c>
      <c r="O47" s="75" t="str">
        <f ca="1">IF(L47="Total",SUM(O$6:O46)+0.0001,Calc!AH48)</f>
        <v/>
      </c>
      <c r="P47" s="167" t="str">
        <f t="shared" ca="1" si="2"/>
        <v/>
      </c>
      <c r="Q47" s="117" t="str">
        <f ca="1">IF(L47="Total",SUM(Q$6:Q46)+0.0001,"")</f>
        <v/>
      </c>
      <c r="R47" s="117" t="str">
        <f ca="1">IF(M47="Total",SUM(R$6:R46)+0.0001,"")</f>
        <v/>
      </c>
      <c r="S47" s="110">
        <f ca="1">D201</f>
        <v>1E-4</v>
      </c>
      <c r="V47">
        <v>1</v>
      </c>
      <c r="W47">
        <f t="shared" ca="1" si="3"/>
        <v>0</v>
      </c>
    </row>
    <row r="48" spans="1:23" ht="15">
      <c r="A48" s="123">
        <f>Calc!Y49</f>
        <v>0</v>
      </c>
      <c r="B48" s="122">
        <f>Calc!Z49</f>
        <v>0</v>
      </c>
      <c r="C48" s="122" t="str">
        <f ca="1">IF(Calc!AA49="Verlust","eventueller Gewinn",Calc!AA49)</f>
        <v/>
      </c>
      <c r="D48" s="117" t="str">
        <f ca="1">IF(C48="Total",SUM(D$6:D47)+0.0001,"")</f>
        <v/>
      </c>
      <c r="E48" s="117" t="str">
        <f ca="1">IF(C48="Total",SUM(E$6:E47)+0.0001,"")</f>
        <v/>
      </c>
      <c r="F48" s="75" t="str">
        <f ca="1">IF(C48="Total",SUM(F$5:F47)+0.0001,Calc!AB49)</f>
        <v/>
      </c>
      <c r="G48" s="167" t="str">
        <f t="shared" ca="1" si="1"/>
        <v/>
      </c>
      <c r="H48" s="173" t="str">
        <f ca="1">IF(C48="Total",SUM(H$6:H47)+0.0001,"")</f>
        <v/>
      </c>
      <c r="I48" s="178"/>
      <c r="J48" s="175">
        <f>Calc!AE49</f>
        <v>0</v>
      </c>
      <c r="K48" s="122">
        <f>Calc!AF49</f>
        <v>0</v>
      </c>
      <c r="L48" s="122" t="str">
        <f ca="1">IF(Calc!AG49="Gewinn","eventueller Verlust",Calc!AG49)</f>
        <v/>
      </c>
      <c r="M48" s="117" t="str">
        <f ca="1">IF(L48="Total",SUM(M$6:M47)+0.0001,"")</f>
        <v/>
      </c>
      <c r="N48" s="117" t="str">
        <f ca="1">IF(L48="Total",SUM(N$6:N47)+0.0001,"")</f>
        <v/>
      </c>
      <c r="O48" s="75" t="str">
        <f ca="1">IF(L48="Total",SUM(O$6:O47)+0.0001,Calc!AH49)</f>
        <v/>
      </c>
      <c r="P48" s="167" t="str">
        <f t="shared" ca="1" si="2"/>
        <v/>
      </c>
      <c r="Q48" s="117" t="str">
        <f ca="1">IF(L48="Total",SUM(Q$6:Q47)+0.0001,"")</f>
        <v/>
      </c>
      <c r="R48" s="117" t="str">
        <f ca="1">IF(M48="Total",SUM(R$6:R47)+0.0001,"")</f>
        <v/>
      </c>
      <c r="V48">
        <v>1</v>
      </c>
      <c r="W48">
        <f t="shared" ca="1" si="3"/>
        <v>0</v>
      </c>
    </row>
    <row r="49" spans="1:23" ht="15">
      <c r="A49" s="123">
        <f>Calc!Y50</f>
        <v>0</v>
      </c>
      <c r="B49" s="122">
        <f>Calc!Z50</f>
        <v>0</v>
      </c>
      <c r="C49" s="122" t="str">
        <f ca="1">IF(Calc!AA50="Verlust","eventueller Gewinn",Calc!AA50)</f>
        <v/>
      </c>
      <c r="D49" s="117" t="str">
        <f ca="1">IF(C49="Total",SUM(D$6:D48)+0.0001,"")</f>
        <v/>
      </c>
      <c r="E49" s="117" t="str">
        <f ca="1">IF(C49="Total",SUM(E$6:E48)+0.0001,"")</f>
        <v/>
      </c>
      <c r="F49" s="75" t="str">
        <f ca="1">IF(C49="Total",SUM(F$5:F48)+0.0001,Calc!AB50)</f>
        <v/>
      </c>
      <c r="G49" s="167" t="str">
        <f t="shared" ca="1" si="1"/>
        <v/>
      </c>
      <c r="H49" s="173" t="str">
        <f ca="1">IF(C49="Total",SUM(H$6:H48)+0.0001,"")</f>
        <v/>
      </c>
      <c r="I49" s="178"/>
      <c r="J49" s="175">
        <f>Calc!AE50</f>
        <v>0</v>
      </c>
      <c r="K49" s="122">
        <f>Calc!AF50</f>
        <v>0</v>
      </c>
      <c r="L49" s="122" t="str">
        <f ca="1">IF(Calc!AG50="Gewinn","eventueller Verlust",Calc!AG50)</f>
        <v/>
      </c>
      <c r="M49" s="117" t="str">
        <f ca="1">IF(L49="Total",SUM(M$6:M48)+0.0001,"")</f>
        <v/>
      </c>
      <c r="N49" s="117" t="str">
        <f ca="1">IF(L49="Total",SUM(N$6:N48)+0.0001,"")</f>
        <v/>
      </c>
      <c r="O49" s="75" t="str">
        <f ca="1">IF(L49="Total",SUM(O$6:O48)+0.0001,Calc!AH50)</f>
        <v/>
      </c>
      <c r="P49" s="167" t="str">
        <f t="shared" ca="1" si="2"/>
        <v/>
      </c>
      <c r="Q49" s="117" t="str">
        <f ca="1">IF(L49="Total",SUM(Q$6:Q48)+0.0001,"")</f>
        <v/>
      </c>
      <c r="R49" s="117" t="str">
        <f ca="1">IF(M49="Total",SUM(R$6:R48)+0.0001,"")</f>
        <v/>
      </c>
      <c r="V49">
        <v>1</v>
      </c>
      <c r="W49">
        <f t="shared" ca="1" si="3"/>
        <v>0</v>
      </c>
    </row>
    <row r="50" spans="1:23" ht="15">
      <c r="A50" s="123">
        <f>Calc!Y51</f>
        <v>0</v>
      </c>
      <c r="B50" s="122">
        <f>Calc!Z51</f>
        <v>0</v>
      </c>
      <c r="C50" s="122" t="str">
        <f ca="1">IF(Calc!AA51="Verlust","eventueller Gewinn",Calc!AA51)</f>
        <v/>
      </c>
      <c r="D50" s="117" t="str">
        <f ca="1">IF(C50="Total",SUM(D$6:D49)+0.0001,"")</f>
        <v/>
      </c>
      <c r="E50" s="117" t="str">
        <f ca="1">IF(C50="Total",SUM(E$6:E49)+0.0001,"")</f>
        <v/>
      </c>
      <c r="F50" s="75" t="str">
        <f ca="1">IF(C50="Total",SUM(F$5:F49)+0.0001,Calc!AB51)</f>
        <v/>
      </c>
      <c r="G50" s="167" t="str">
        <f t="shared" ca="1" si="1"/>
        <v/>
      </c>
      <c r="H50" s="173" t="str">
        <f ca="1">IF(C50="Total",SUM(H$6:H49)+0.0001,"")</f>
        <v/>
      </c>
      <c r="I50" s="178"/>
      <c r="J50" s="175">
        <f>Calc!AE51</f>
        <v>0</v>
      </c>
      <c r="K50" s="122">
        <f>Calc!AF51</f>
        <v>0</v>
      </c>
      <c r="L50" s="122" t="str">
        <f ca="1">IF(Calc!AG51="Gewinn","eventueller Verlust",Calc!AG51)</f>
        <v/>
      </c>
      <c r="M50" s="117" t="str">
        <f ca="1">IF(L50="Total",SUM(M$6:M49)+0.0001,"")</f>
        <v/>
      </c>
      <c r="N50" s="117" t="str">
        <f ca="1">IF(L50="Total",SUM(N$6:N49)+0.0001,"")</f>
        <v/>
      </c>
      <c r="O50" s="75" t="str">
        <f ca="1">IF(L50="Total",SUM(O$6:O49)+0.0001,Calc!AH51)</f>
        <v/>
      </c>
      <c r="P50" s="167" t="str">
        <f t="shared" ca="1" si="2"/>
        <v/>
      </c>
      <c r="Q50" s="117" t="str">
        <f ca="1">IF(L50="Total",SUM(Q$6:Q49)+0.0001,"")</f>
        <v/>
      </c>
      <c r="R50" s="117" t="str">
        <f ca="1">IF(M50="Total",SUM(R$6:R49)+0.0001,"")</f>
        <v/>
      </c>
      <c r="V50">
        <v>1</v>
      </c>
      <c r="W50">
        <f t="shared" ca="1" si="3"/>
        <v>0</v>
      </c>
    </row>
    <row r="51" spans="1:23" ht="15">
      <c r="A51" s="123">
        <f>Calc!Y52</f>
        <v>0</v>
      </c>
      <c r="B51" s="122">
        <f>Calc!Z52</f>
        <v>0</v>
      </c>
      <c r="C51" s="122" t="str">
        <f ca="1">IF(Calc!AA52="Verlust","eventueller Gewinn",Calc!AA52)</f>
        <v/>
      </c>
      <c r="D51" s="117" t="str">
        <f ca="1">IF(C51="Total",SUM(D$6:D50)+0.0001,"")</f>
        <v/>
      </c>
      <c r="E51" s="117" t="str">
        <f ca="1">IF(C51="Total",SUM(E$6:E50)+0.0001,"")</f>
        <v/>
      </c>
      <c r="F51" s="75" t="str">
        <f ca="1">IF(C51="Total",SUM(F$5:F50)+0.0001,Calc!AB52)</f>
        <v/>
      </c>
      <c r="G51" s="167" t="str">
        <f t="shared" ca="1" si="1"/>
        <v/>
      </c>
      <c r="H51" s="173" t="str">
        <f ca="1">IF(C51="Total",SUM(H$6:H50)+0.0001,"")</f>
        <v/>
      </c>
      <c r="I51" s="178"/>
      <c r="J51" s="175">
        <f>Calc!AE52</f>
        <v>0</v>
      </c>
      <c r="K51" s="122">
        <f>Calc!AF52</f>
        <v>0</v>
      </c>
      <c r="L51" s="122" t="str">
        <f ca="1">IF(Calc!AG52="Gewinn","eventueller Verlust",Calc!AG52)</f>
        <v/>
      </c>
      <c r="M51" s="117" t="str">
        <f ca="1">IF(L51="Total",SUM(M$6:M50)+0.0001,"")</f>
        <v/>
      </c>
      <c r="N51" s="117" t="str">
        <f ca="1">IF(L51="Total",SUM(N$6:N50)+0.0001,"")</f>
        <v/>
      </c>
      <c r="O51" s="75" t="str">
        <f ca="1">IF(L51="Total",SUM(O$6:O50)+0.0001,Calc!AH52)</f>
        <v/>
      </c>
      <c r="P51" s="167" t="str">
        <f t="shared" ca="1" si="2"/>
        <v/>
      </c>
      <c r="Q51" s="117" t="str">
        <f ca="1">IF(L51="Total",SUM(Q$6:Q50)+0.0001,"")</f>
        <v/>
      </c>
      <c r="R51" s="117" t="str">
        <f ca="1">IF(M51="Total",SUM(R$6:R50)+0.0001,"")</f>
        <v/>
      </c>
      <c r="V51">
        <v>1</v>
      </c>
      <c r="W51">
        <f t="shared" ca="1" si="3"/>
        <v>0</v>
      </c>
    </row>
    <row r="52" spans="1:23" ht="15">
      <c r="A52" s="123">
        <f>Calc!Y53</f>
        <v>0</v>
      </c>
      <c r="B52" s="122">
        <f>Calc!Z53</f>
        <v>0</v>
      </c>
      <c r="C52" s="122" t="str">
        <f ca="1">IF(Calc!AA53="Verlust","eventueller Gewinn",Calc!AA53)</f>
        <v/>
      </c>
      <c r="D52" s="117" t="str">
        <f ca="1">IF(C52="Total",SUM(D$6:D51)+0.0001,"")</f>
        <v/>
      </c>
      <c r="E52" s="117" t="str">
        <f ca="1">IF(C52="Total",SUM(E$6:E51)+0.0001,"")</f>
        <v/>
      </c>
      <c r="F52" s="75" t="str">
        <f ca="1">IF(C52="Total",SUM(F$5:F51)+0.0001,Calc!AB53)</f>
        <v/>
      </c>
      <c r="G52" s="167" t="str">
        <f t="shared" ca="1" si="1"/>
        <v/>
      </c>
      <c r="H52" s="173" t="str">
        <f ca="1">IF(C52="Total",SUM(H$6:H51)+0.0001,"")</f>
        <v/>
      </c>
      <c r="I52" s="178"/>
      <c r="J52" s="175">
        <f>Calc!AE53</f>
        <v>0</v>
      </c>
      <c r="K52" s="122">
        <f>Calc!AF53</f>
        <v>0</v>
      </c>
      <c r="L52" s="122" t="str">
        <f ca="1">IF(Calc!AG53="Gewinn","eventueller Verlust",Calc!AG53)</f>
        <v/>
      </c>
      <c r="M52" s="117" t="str">
        <f ca="1">IF(L52="Total",SUM(M$6:M51)+0.0001,"")</f>
        <v/>
      </c>
      <c r="N52" s="117" t="str">
        <f ca="1">IF(L52="Total",SUM(N$6:N51)+0.0001,"")</f>
        <v/>
      </c>
      <c r="O52" s="75" t="str">
        <f ca="1">IF(L52="Total",SUM(O$6:O51)+0.0001,Calc!AH53)</f>
        <v/>
      </c>
      <c r="P52" s="167" t="str">
        <f t="shared" ca="1" si="2"/>
        <v/>
      </c>
      <c r="Q52" s="117" t="str">
        <f ca="1">IF(L52="Total",SUM(Q$6:Q51)+0.0001,"")</f>
        <v/>
      </c>
      <c r="R52" s="117" t="str">
        <f ca="1">IF(M52="Total",SUM(R$6:R51)+0.0001,"")</f>
        <v/>
      </c>
      <c r="V52">
        <v>1</v>
      </c>
      <c r="W52">
        <f t="shared" ca="1" si="3"/>
        <v>0</v>
      </c>
    </row>
    <row r="53" spans="1:23" ht="15">
      <c r="A53" s="123">
        <f>Calc!Y54</f>
        <v>0</v>
      </c>
      <c r="B53" s="122">
        <f>Calc!Z54</f>
        <v>0</v>
      </c>
      <c r="C53" s="122" t="str">
        <f ca="1">IF(Calc!AA54="Verlust","eventueller Gewinn",Calc!AA54)</f>
        <v/>
      </c>
      <c r="D53" s="117" t="str">
        <f ca="1">IF(C53="Total",SUM(D$6:D52)+0.0001,"")</f>
        <v/>
      </c>
      <c r="E53" s="117" t="str">
        <f ca="1">IF(C53="Total",SUM(E$6:E52)+0.0001,"")</f>
        <v/>
      </c>
      <c r="F53" s="75" t="str">
        <f ca="1">IF(C53="Total",SUM(F$5:F52)+0.0001,Calc!AB54)</f>
        <v/>
      </c>
      <c r="G53" s="167" t="str">
        <f t="shared" ca="1" si="1"/>
        <v/>
      </c>
      <c r="H53" s="173" t="str">
        <f ca="1">IF(C53="Total",SUM(H$6:H52)+0.0001,"")</f>
        <v/>
      </c>
      <c r="I53" s="178"/>
      <c r="J53" s="175">
        <f>Calc!AE54</f>
        <v>0</v>
      </c>
      <c r="K53" s="122">
        <f>Calc!AF54</f>
        <v>0</v>
      </c>
      <c r="L53" s="122" t="str">
        <f ca="1">IF(Calc!AG54="Gewinn","eventueller Verlust",Calc!AG54)</f>
        <v/>
      </c>
      <c r="M53" s="117" t="str">
        <f ca="1">IF(L53="Total",SUM(M$6:M52)+0.0001,"")</f>
        <v/>
      </c>
      <c r="N53" s="117" t="str">
        <f ca="1">IF(L53="Total",SUM(N$6:N52)+0.0001,"")</f>
        <v/>
      </c>
      <c r="O53" s="75" t="str">
        <f ca="1">IF(L53="Total",SUM(O$6:O52)+0.0001,Calc!AH54)</f>
        <v/>
      </c>
      <c r="P53" s="167" t="str">
        <f t="shared" ca="1" si="2"/>
        <v/>
      </c>
      <c r="Q53" s="117" t="str">
        <f ca="1">IF(L53="Total",SUM(Q$6:Q52)+0.0001,"")</f>
        <v/>
      </c>
      <c r="R53" s="117" t="str">
        <f ca="1">IF(M53="Total",SUM(R$6:R52)+0.0001,"")</f>
        <v/>
      </c>
      <c r="V53">
        <v>1</v>
      </c>
      <c r="W53">
        <f t="shared" ca="1" si="3"/>
        <v>0</v>
      </c>
    </row>
    <row r="54" spans="1:23" ht="15">
      <c r="A54" s="123">
        <f>Calc!Y55</f>
        <v>0</v>
      </c>
      <c r="B54" s="122">
        <f>Calc!Z55</f>
        <v>0</v>
      </c>
      <c r="C54" s="122" t="str">
        <f ca="1">IF(Calc!AA55="Verlust","eventueller Gewinn",Calc!AA55)</f>
        <v/>
      </c>
      <c r="D54" s="117" t="str">
        <f ca="1">IF(C54="Total",SUM(D$6:D53)+0.0001,"")</f>
        <v/>
      </c>
      <c r="E54" s="117" t="str">
        <f ca="1">IF(C54="Total",SUM(E$6:E53)+0.0001,"")</f>
        <v/>
      </c>
      <c r="F54" s="75" t="str">
        <f ca="1">IF(C54="Total",SUM(F$5:F53)+0.0001,Calc!AB55)</f>
        <v/>
      </c>
      <c r="G54" s="167" t="str">
        <f t="shared" ca="1" si="1"/>
        <v/>
      </c>
      <c r="H54" s="173" t="str">
        <f ca="1">IF(C54="Total",SUM(H$6:H53)+0.0001,"")</f>
        <v/>
      </c>
      <c r="I54" s="178"/>
      <c r="J54" s="175">
        <f>Calc!AE55</f>
        <v>0</v>
      </c>
      <c r="K54" s="122">
        <f>Calc!AF55</f>
        <v>0</v>
      </c>
      <c r="L54" s="122" t="str">
        <f ca="1">IF(Calc!AG55="Gewinn","eventueller Verlust",Calc!AG55)</f>
        <v/>
      </c>
      <c r="M54" s="117" t="str">
        <f ca="1">IF(L54="Total",SUM(M$6:M53)+0.0001,"")</f>
        <v/>
      </c>
      <c r="N54" s="117" t="str">
        <f ca="1">IF(L54="Total",SUM(N$6:N53)+0.0001,"")</f>
        <v/>
      </c>
      <c r="O54" s="75" t="str">
        <f ca="1">IF(L54="Total",SUM(O$6:O53)+0.0001,Calc!AH55)</f>
        <v/>
      </c>
      <c r="P54" s="167" t="str">
        <f t="shared" ca="1" si="2"/>
        <v/>
      </c>
      <c r="Q54" s="117" t="str">
        <f ca="1">IF(L54="Total",SUM(Q$6:Q53)+0.0001,"")</f>
        <v/>
      </c>
      <c r="R54" s="117" t="str">
        <f ca="1">IF(M54="Total",SUM(R$6:R53)+0.0001,"")</f>
        <v/>
      </c>
      <c r="V54">
        <v>1</v>
      </c>
      <c r="W54">
        <f t="shared" ca="1" si="3"/>
        <v>0</v>
      </c>
    </row>
    <row r="55" spans="1:23" ht="15">
      <c r="A55" s="123">
        <f>Calc!Y56</f>
        <v>0</v>
      </c>
      <c r="B55" s="122">
        <f>Calc!Z56</f>
        <v>0</v>
      </c>
      <c r="C55" s="122" t="str">
        <f ca="1">IF(Calc!AA56="Verlust","eventueller Gewinn",Calc!AA56)</f>
        <v/>
      </c>
      <c r="D55" s="117" t="str">
        <f ca="1">IF(C55="Total",SUM(D$6:D54)+0.0001,"")</f>
        <v/>
      </c>
      <c r="E55" s="117" t="str">
        <f ca="1">IF(C55="Total",SUM(E$6:E54)+0.0001,"")</f>
        <v/>
      </c>
      <c r="F55" s="75" t="str">
        <f ca="1">IF(C55="Total",SUM(F$5:F54)+0.0001,Calc!AB56)</f>
        <v/>
      </c>
      <c r="G55" s="167" t="str">
        <f t="shared" ca="1" si="1"/>
        <v/>
      </c>
      <c r="H55" s="173" t="str">
        <f ca="1">IF(C55="Total",SUM(H$6:H54)+0.0001,"")</f>
        <v/>
      </c>
      <c r="I55" s="178"/>
      <c r="J55" s="175">
        <f>Calc!AE56</f>
        <v>0</v>
      </c>
      <c r="K55" s="122">
        <f>Calc!AF56</f>
        <v>0</v>
      </c>
      <c r="L55" s="122" t="str">
        <f ca="1">IF(Calc!AG56="Gewinn","eventueller Verlust",Calc!AG56)</f>
        <v/>
      </c>
      <c r="M55" s="117" t="str">
        <f ca="1">IF(L55="Total",SUM(M$6:M54)+0.0001,"")</f>
        <v/>
      </c>
      <c r="N55" s="117" t="str">
        <f ca="1">IF(L55="Total",SUM(N$6:N54)+0.0001,"")</f>
        <v/>
      </c>
      <c r="O55" s="75" t="str">
        <f ca="1">IF(L55="Total",SUM(O$6:O54)+0.0001,Calc!AH56)</f>
        <v/>
      </c>
      <c r="P55" s="167" t="str">
        <f t="shared" ca="1" si="2"/>
        <v/>
      </c>
      <c r="Q55" s="117" t="str">
        <f ca="1">IF(L55="Total",SUM(Q$6:Q54)+0.0001,"")</f>
        <v/>
      </c>
      <c r="R55" s="117" t="str">
        <f ca="1">IF(M55="Total",SUM(R$6:R54)+0.0001,"")</f>
        <v/>
      </c>
      <c r="V55">
        <v>1</v>
      </c>
      <c r="W55">
        <f t="shared" ca="1" si="3"/>
        <v>0</v>
      </c>
    </row>
    <row r="56" spans="1:23" ht="15">
      <c r="A56" s="123">
        <f>Calc!Y57</f>
        <v>0</v>
      </c>
      <c r="B56" s="122">
        <f>Calc!Z57</f>
        <v>0</v>
      </c>
      <c r="C56" s="122" t="str">
        <f ca="1">IF(Calc!AA57="Verlust","eventueller Gewinn",Calc!AA57)</f>
        <v/>
      </c>
      <c r="D56" s="117" t="str">
        <f ca="1">IF(C56="Total",SUM(D$6:D55)+0.0001,"")</f>
        <v/>
      </c>
      <c r="E56" s="117" t="str">
        <f ca="1">IF(C56="Total",SUM(E$6:E55)+0.0001,"")</f>
        <v/>
      </c>
      <c r="F56" s="75" t="str">
        <f ca="1">IF(C56="Total",SUM(F$5:F55)+0.0001,Calc!AB57)</f>
        <v/>
      </c>
      <c r="G56" s="167" t="str">
        <f t="shared" ca="1" si="1"/>
        <v/>
      </c>
      <c r="H56" s="173" t="str">
        <f ca="1">IF(C56="Total",SUM(H$6:H55)+0.0001,"")</f>
        <v/>
      </c>
      <c r="I56" s="178"/>
      <c r="J56" s="175">
        <f>Calc!AE57</f>
        <v>0</v>
      </c>
      <c r="K56" s="122">
        <f>Calc!AF57</f>
        <v>0</v>
      </c>
      <c r="L56" s="122" t="str">
        <f ca="1">IF(Calc!AG57="Gewinn","eventueller Verlust",Calc!AG57)</f>
        <v/>
      </c>
      <c r="M56" s="117" t="str">
        <f ca="1">IF(L56="Total",SUM(M$6:M55)+0.0001,"")</f>
        <v/>
      </c>
      <c r="N56" s="117" t="str">
        <f ca="1">IF(L56="Total",SUM(N$6:N55)+0.0001,"")</f>
        <v/>
      </c>
      <c r="O56" s="75" t="str">
        <f ca="1">IF(L56="Total",SUM(O$6:O55)+0.0001,Calc!AH57)</f>
        <v/>
      </c>
      <c r="P56" s="167" t="str">
        <f t="shared" ca="1" si="2"/>
        <v/>
      </c>
      <c r="Q56" s="117" t="str">
        <f ca="1">IF(L56="Total",SUM(Q$6:Q55)+0.0001,"")</f>
        <v/>
      </c>
      <c r="R56" s="117" t="str">
        <f ca="1">IF(M56="Total",SUM(R$6:R55)+0.0001,"")</f>
        <v/>
      </c>
      <c r="V56">
        <v>2</v>
      </c>
      <c r="W56">
        <f t="shared" ca="1" si="3"/>
        <v>0</v>
      </c>
    </row>
    <row r="57" spans="1:23" ht="15">
      <c r="A57" s="123">
        <f>Calc!Y58</f>
        <v>0</v>
      </c>
      <c r="B57" s="122">
        <f>Calc!Z58</f>
        <v>0</v>
      </c>
      <c r="C57" s="122" t="str">
        <f ca="1">IF(Calc!AA58="Verlust","eventueller Gewinn",Calc!AA58)</f>
        <v/>
      </c>
      <c r="D57" s="117" t="str">
        <f ca="1">IF(C57="Total",SUM(D$6:D56)+0.0001,"")</f>
        <v/>
      </c>
      <c r="E57" s="117" t="str">
        <f ca="1">IF(C57="Total",SUM(E$6:E56)+0.0001,"")</f>
        <v/>
      </c>
      <c r="F57" s="75" t="str">
        <f ca="1">IF(C57="Total",SUM(F$5:F56)+0.0001,Calc!AB58)</f>
        <v/>
      </c>
      <c r="G57" s="167" t="str">
        <f t="shared" ca="1" si="1"/>
        <v/>
      </c>
      <c r="H57" s="173" t="str">
        <f ca="1">IF(C57="Total",SUM(H$6:H56)+0.0001,"")</f>
        <v/>
      </c>
      <c r="I57" s="178"/>
      <c r="J57" s="175">
        <f>Calc!AE58</f>
        <v>0</v>
      </c>
      <c r="K57" s="122">
        <f>Calc!AF58</f>
        <v>0</v>
      </c>
      <c r="L57" s="122" t="str">
        <f ca="1">IF(Calc!AG58="Gewinn","eventueller Verlust",Calc!AG58)</f>
        <v/>
      </c>
      <c r="M57" s="117" t="str">
        <f ca="1">IF(L57="Total",SUM(M$6:M56)+0.0001,"")</f>
        <v/>
      </c>
      <c r="N57" s="117" t="str">
        <f ca="1">IF(L57="Total",SUM(N$6:N56)+0.0001,"")</f>
        <v/>
      </c>
      <c r="O57" s="75" t="str">
        <f ca="1">IF(L57="Total",SUM(O$6:O56)+0.0001,Calc!AH58)</f>
        <v/>
      </c>
      <c r="P57" s="167" t="str">
        <f t="shared" ca="1" si="2"/>
        <v/>
      </c>
      <c r="Q57" s="117" t="str">
        <f ca="1">IF(L57="Total",SUM(Q$6:Q56)+0.0001,"")</f>
        <v/>
      </c>
      <c r="R57" s="117" t="str">
        <f ca="1">IF(M57="Total",SUM(R$6:R56)+0.0001,"")</f>
        <v/>
      </c>
      <c r="V57">
        <v>2</v>
      </c>
      <c r="W57">
        <f t="shared" ca="1" si="3"/>
        <v>0</v>
      </c>
    </row>
    <row r="58" spans="1:23" ht="15">
      <c r="A58" s="123">
        <f>Calc!Y59</f>
        <v>0</v>
      </c>
      <c r="B58" s="122">
        <f>Calc!Z59</f>
        <v>0</v>
      </c>
      <c r="C58" s="122" t="str">
        <f ca="1">IF(Calc!AA59="Verlust","eventueller Gewinn",Calc!AA59)</f>
        <v/>
      </c>
      <c r="D58" s="117" t="str">
        <f ca="1">IF(C58="Total",SUM(D$6:D57)+0.0001,"")</f>
        <v/>
      </c>
      <c r="E58" s="117" t="str">
        <f ca="1">IF(C58="Total",SUM(E$6:E57)+0.0001,"")</f>
        <v/>
      </c>
      <c r="F58" s="75" t="str">
        <f ca="1">IF(C58="Total",SUM(F$5:F57)+0.0001,Calc!AB59)</f>
        <v/>
      </c>
      <c r="G58" s="167" t="str">
        <f t="shared" ca="1" si="1"/>
        <v/>
      </c>
      <c r="H58" s="173" t="str">
        <f ca="1">IF(C58="Total",SUM(H$6:H57)+0.0001,"")</f>
        <v/>
      </c>
      <c r="I58" s="178"/>
      <c r="J58" s="175">
        <f>Calc!AE59</f>
        <v>0</v>
      </c>
      <c r="K58" s="122">
        <f>Calc!AF59</f>
        <v>0</v>
      </c>
      <c r="L58" s="122" t="str">
        <f ca="1">IF(Calc!AG59="Gewinn","eventueller Verlust",Calc!AG59)</f>
        <v/>
      </c>
      <c r="M58" s="117" t="str">
        <f ca="1">IF(L58="Total",SUM(M$6:M57)+0.0001,"")</f>
        <v/>
      </c>
      <c r="N58" s="117" t="str">
        <f ca="1">IF(L58="Total",SUM(N$6:N57)+0.0001,"")</f>
        <v/>
      </c>
      <c r="O58" s="75" t="str">
        <f ca="1">IF(L58="Total",SUM(O$6:O57)+0.0001,Calc!AH59)</f>
        <v/>
      </c>
      <c r="P58" s="167" t="str">
        <f t="shared" ca="1" si="2"/>
        <v/>
      </c>
      <c r="Q58" s="117" t="str">
        <f ca="1">IF(L58="Total",SUM(Q$6:Q57)+0.0001,"")</f>
        <v/>
      </c>
      <c r="R58" s="117" t="str">
        <f ca="1">IF(M58="Total",SUM(R$6:R57)+0.0001,"")</f>
        <v/>
      </c>
      <c r="V58">
        <v>2</v>
      </c>
      <c r="W58">
        <f t="shared" ca="1" si="3"/>
        <v>0</v>
      </c>
    </row>
    <row r="59" spans="1:23" ht="15">
      <c r="A59" s="123">
        <f>Calc!Y60</f>
        <v>0</v>
      </c>
      <c r="B59" s="122">
        <f>Calc!Z60</f>
        <v>0</v>
      </c>
      <c r="C59" s="122" t="str">
        <f ca="1">IF(Calc!AA60="Verlust","eventueller Gewinn",Calc!AA60)</f>
        <v/>
      </c>
      <c r="D59" s="117" t="str">
        <f ca="1">IF(C59="Total",SUM(D$6:D58)+0.0001,"")</f>
        <v/>
      </c>
      <c r="E59" s="117" t="str">
        <f ca="1">IF(C59="Total",SUM(E$6:E58)+0.0001,"")</f>
        <v/>
      </c>
      <c r="F59" s="75" t="str">
        <f ca="1">IF(C59="Total",SUM(F$5:F58)+0.0001,Calc!AB60)</f>
        <v/>
      </c>
      <c r="G59" s="167" t="str">
        <f t="shared" ca="1" si="1"/>
        <v/>
      </c>
      <c r="H59" s="173" t="str">
        <f ca="1">IF(C59="Total",SUM(H$6:H58)+0.0001,"")</f>
        <v/>
      </c>
      <c r="I59" s="178"/>
      <c r="J59" s="175">
        <f>Calc!AE60</f>
        <v>0</v>
      </c>
      <c r="K59" s="122">
        <f>Calc!AF60</f>
        <v>0</v>
      </c>
      <c r="L59" s="122" t="str">
        <f ca="1">IF(Calc!AG60="Gewinn","eventueller Verlust",Calc!AG60)</f>
        <v/>
      </c>
      <c r="M59" s="117" t="str">
        <f ca="1">IF(L59="Total",SUM(M$6:M58)+0.0001,"")</f>
        <v/>
      </c>
      <c r="N59" s="117" t="str">
        <f ca="1">IF(L59="Total",SUM(N$6:N58)+0.0001,"")</f>
        <v/>
      </c>
      <c r="O59" s="75" t="str">
        <f ca="1">IF(L59="Total",SUM(O$6:O58)+0.0001,Calc!AH60)</f>
        <v/>
      </c>
      <c r="P59" s="167" t="str">
        <f t="shared" ca="1" si="2"/>
        <v/>
      </c>
      <c r="Q59" s="117" t="str">
        <f ca="1">IF(L59="Total",SUM(Q$6:Q58)+0.0001,"")</f>
        <v/>
      </c>
      <c r="R59" s="117" t="str">
        <f ca="1">IF(M59="Total",SUM(R$6:R58)+0.0001,"")</f>
        <v/>
      </c>
      <c r="V59">
        <v>2</v>
      </c>
      <c r="W59">
        <f t="shared" ca="1" si="3"/>
        <v>0</v>
      </c>
    </row>
    <row r="60" spans="1:23" ht="15">
      <c r="A60" s="123">
        <f>Calc!Y61</f>
        <v>0</v>
      </c>
      <c r="B60" s="122">
        <f>Calc!Z61</f>
        <v>0</v>
      </c>
      <c r="C60" s="122" t="str">
        <f ca="1">IF(Calc!AA61="Verlust","eventueller Gewinn",Calc!AA61)</f>
        <v/>
      </c>
      <c r="D60" s="117" t="str">
        <f ca="1">IF(C60="Total",SUM(D$6:D59)+0.0001,"")</f>
        <v/>
      </c>
      <c r="E60" s="117" t="str">
        <f ca="1">IF(C60="Total",SUM(E$6:E59)+0.0001,"")</f>
        <v/>
      </c>
      <c r="F60" s="75" t="str">
        <f ca="1">IF(C60="Total",SUM(F$5:F59)+0.0001,Calc!AB61)</f>
        <v/>
      </c>
      <c r="G60" s="167" t="str">
        <f t="shared" ca="1" si="1"/>
        <v/>
      </c>
      <c r="H60" s="173" t="str">
        <f ca="1">IF(C60="Total",SUM(H$6:H59)+0.0001,"")</f>
        <v/>
      </c>
      <c r="I60" s="178"/>
      <c r="J60" s="175">
        <f>Calc!AE61</f>
        <v>0</v>
      </c>
      <c r="K60" s="122">
        <f>Calc!AF61</f>
        <v>0</v>
      </c>
      <c r="L60" s="122" t="str">
        <f ca="1">IF(Calc!AG61="Gewinn","eventueller Verlust",Calc!AG61)</f>
        <v/>
      </c>
      <c r="M60" s="117" t="str">
        <f ca="1">IF(L60="Total",SUM(M$6:M59)+0.0001,"")</f>
        <v/>
      </c>
      <c r="N60" s="117" t="str">
        <f ca="1">IF(L60="Total",SUM(N$6:N59)+0.0001,"")</f>
        <v/>
      </c>
      <c r="O60" s="75" t="str">
        <f ca="1">IF(L60="Total",SUM(O$6:O59)+0.0001,Calc!AH61)</f>
        <v/>
      </c>
      <c r="P60" s="167" t="str">
        <f t="shared" ca="1" si="2"/>
        <v/>
      </c>
      <c r="Q60" s="117" t="str">
        <f ca="1">IF(L60="Total",SUM(Q$6:Q59)+0.0001,"")</f>
        <v/>
      </c>
      <c r="V60">
        <v>2</v>
      </c>
      <c r="W60">
        <f t="shared" ca="1" si="3"/>
        <v>0</v>
      </c>
    </row>
    <row r="61" spans="1:23" ht="15">
      <c r="A61" s="123">
        <f>Calc!Y62</f>
        <v>0</v>
      </c>
      <c r="B61" s="122">
        <f>Calc!Z62</f>
        <v>0</v>
      </c>
      <c r="C61" s="122" t="str">
        <f ca="1">IF(Calc!AA62="Verlust","eventueller Gewinn",Calc!AA62)</f>
        <v/>
      </c>
      <c r="D61" s="117" t="str">
        <f ca="1">IF(C61="Total",SUM(D$6:D60)+0.0001,"")</f>
        <v/>
      </c>
      <c r="E61" s="117" t="str">
        <f ca="1">IF(C61="Total",SUM(E$6:E60)+0.0001,"")</f>
        <v/>
      </c>
      <c r="F61" s="75" t="str">
        <f ca="1">IF(C61="Total",SUM(F$5:F60)+0.0001,Calc!AB62)</f>
        <v/>
      </c>
      <c r="G61" s="167" t="str">
        <f t="shared" ca="1" si="1"/>
        <v/>
      </c>
      <c r="H61" s="173" t="str">
        <f ca="1">IF(C61="Total",SUM(H$6:H60)+0.0001,"")</f>
        <v/>
      </c>
      <c r="I61" s="178"/>
      <c r="J61" s="175">
        <f>Calc!AE62</f>
        <v>0</v>
      </c>
      <c r="K61" s="122">
        <f>Calc!AF62</f>
        <v>0</v>
      </c>
      <c r="L61" s="122" t="str">
        <f ca="1">IF(Calc!AG62="Gewinn","eventueller Verlust",Calc!AG62)</f>
        <v/>
      </c>
      <c r="M61" s="117" t="str">
        <f ca="1">IF(L61="Total",SUM(M$6:M60)+0.0001,"")</f>
        <v/>
      </c>
      <c r="N61" s="117" t="str">
        <f ca="1">IF(L61="Total",SUM(N$6:N60)+0.0001,"")</f>
        <v/>
      </c>
      <c r="O61" s="75" t="str">
        <f ca="1">IF(L61="Total",SUM(O$6:O60)+0.0001,Calc!AH62)</f>
        <v/>
      </c>
      <c r="P61" s="167" t="str">
        <f t="shared" ca="1" si="2"/>
        <v/>
      </c>
      <c r="Q61" s="117" t="str">
        <f ca="1">IF(L61="Total",SUM(Q$6:Q60)+0.0001,"")</f>
        <v/>
      </c>
      <c r="V61">
        <v>2</v>
      </c>
      <c r="W61">
        <f t="shared" ca="1" si="3"/>
        <v>0</v>
      </c>
    </row>
    <row r="62" spans="1:23" ht="15">
      <c r="A62" s="123">
        <f>Calc!Y63</f>
        <v>0</v>
      </c>
      <c r="B62" s="122">
        <f>Calc!Z63</f>
        <v>0</v>
      </c>
      <c r="C62" s="122" t="str">
        <f ca="1">IF(Calc!AA63="Verlust","eventueller Gewinn",Calc!AA63)</f>
        <v/>
      </c>
      <c r="D62" s="117" t="str">
        <f ca="1">IF(C62="Total",SUM(D$6:D61)+0.0001,"")</f>
        <v/>
      </c>
      <c r="E62" s="117" t="str">
        <f ca="1">IF(C62="Total",SUM(E$6:E61)+0.0001,"")</f>
        <v/>
      </c>
      <c r="F62" s="75" t="str">
        <f ca="1">IF(C62="Total",SUM(F$5:F61)+0.0001,Calc!AB63)</f>
        <v/>
      </c>
      <c r="G62" s="167" t="str">
        <f t="shared" ca="1" si="1"/>
        <v/>
      </c>
      <c r="H62" s="173" t="str">
        <f ca="1">IF(C62="Total",SUM(H$6:H61)+0.0001,"")</f>
        <v/>
      </c>
      <c r="I62" s="178"/>
      <c r="J62" s="175">
        <f>Calc!AE63</f>
        <v>0</v>
      </c>
      <c r="K62" s="122">
        <f>Calc!AF63</f>
        <v>0</v>
      </c>
      <c r="L62" s="122" t="str">
        <f ca="1">IF(Calc!AG63="Gewinn","eventueller Verlust",Calc!AG63)</f>
        <v/>
      </c>
      <c r="M62" s="117" t="str">
        <f ca="1">IF(L62="Total",SUM(M$6:M61)+0.0001,"")</f>
        <v/>
      </c>
      <c r="N62" s="117" t="str">
        <f ca="1">IF(L62="Total",SUM(N$6:N61)+0.0001,"")</f>
        <v/>
      </c>
      <c r="O62" s="75" t="str">
        <f ca="1">IF(L62="Total",SUM(O$6:O61)+0.0001,Calc!AH63)</f>
        <v/>
      </c>
      <c r="P62" s="167" t="str">
        <f t="shared" ca="1" si="2"/>
        <v/>
      </c>
      <c r="Q62" s="117" t="str">
        <f ca="1">IF(L62="Total",SUM(Q$6:Q61)+0.0001,"")</f>
        <v/>
      </c>
      <c r="V62">
        <v>2</v>
      </c>
      <c r="W62">
        <f t="shared" ca="1" si="3"/>
        <v>0</v>
      </c>
    </row>
    <row r="63" spans="1:23" ht="15">
      <c r="A63" s="123">
        <f>Calc!Y64</f>
        <v>0</v>
      </c>
      <c r="B63" s="122">
        <f>Calc!Z64</f>
        <v>0</v>
      </c>
      <c r="C63" s="122" t="str">
        <f ca="1">IF(Calc!AA64="Verlust","eventueller Gewinn",Calc!AA64)</f>
        <v/>
      </c>
      <c r="D63" s="117" t="str">
        <f ca="1">IF(C63="Total",SUM(D$6:D62)+0.0001,"")</f>
        <v/>
      </c>
      <c r="E63" s="117" t="str">
        <f ca="1">IF(C63="Total",SUM(E$6:E62)+0.0001,"")</f>
        <v/>
      </c>
      <c r="F63" s="75" t="str">
        <f ca="1">IF(C63="Total",SUM(F$5:F62)+0.0001,Calc!AB64)</f>
        <v/>
      </c>
      <c r="G63" s="167" t="str">
        <f t="shared" ca="1" si="1"/>
        <v/>
      </c>
      <c r="H63" s="173" t="str">
        <f ca="1">IF(C63="Total",SUM(H$6:H62)+0.0001,"")</f>
        <v/>
      </c>
      <c r="I63" s="178"/>
      <c r="J63" s="175">
        <f>Calc!AE64</f>
        <v>0</v>
      </c>
      <c r="K63" s="122">
        <f>Calc!AF64</f>
        <v>0</v>
      </c>
      <c r="L63" s="122" t="str">
        <f ca="1">IF(Calc!AG64="Gewinn","eventueller Verlust",Calc!AG64)</f>
        <v/>
      </c>
      <c r="M63" s="117" t="str">
        <f ca="1">IF(L63="Total",SUM(M$6:M62)+0.0001,"")</f>
        <v/>
      </c>
      <c r="N63" s="117" t="str">
        <f ca="1">IF(L63="Total",SUM(N$6:N62)+0.0001,"")</f>
        <v/>
      </c>
      <c r="O63" s="75" t="str">
        <f ca="1">IF(L63="Total",SUM(O$6:O62)+0.0001,Calc!AH64)</f>
        <v/>
      </c>
      <c r="P63" s="167" t="str">
        <f t="shared" ca="1" si="2"/>
        <v/>
      </c>
      <c r="Q63" s="117" t="str">
        <f ca="1">IF(L63="Total",SUM(Q$6:Q62)+0.0001,"")</f>
        <v/>
      </c>
      <c r="V63">
        <v>2</v>
      </c>
      <c r="W63">
        <f t="shared" ca="1" si="3"/>
        <v>0</v>
      </c>
    </row>
    <row r="64" spans="1:23" ht="15">
      <c r="A64" s="123">
        <f>Calc!Y65</f>
        <v>0</v>
      </c>
      <c r="B64" s="122">
        <f>Calc!Z65</f>
        <v>0</v>
      </c>
      <c r="C64" s="122" t="str">
        <f ca="1">IF(Calc!AA65="Verlust","eventueller Gewinn",Calc!AA65)</f>
        <v/>
      </c>
      <c r="D64" s="117" t="str">
        <f ca="1">IF(C64="Total",SUM(D$6:D63)+0.0001,"")</f>
        <v/>
      </c>
      <c r="E64" s="117" t="str">
        <f ca="1">IF(C64="Total",SUM(E$6:E63)+0.0001,"")</f>
        <v/>
      </c>
      <c r="F64" s="75" t="str">
        <f ca="1">IF(C64="Total",SUM(F$5:F63)+0.0001,Calc!AB65)</f>
        <v/>
      </c>
      <c r="G64" s="167" t="str">
        <f t="shared" ca="1" si="1"/>
        <v/>
      </c>
      <c r="H64" s="173" t="str">
        <f ca="1">IF(C64="Total",SUM(H$6:H63)+0.0001,"")</f>
        <v/>
      </c>
      <c r="I64" s="178"/>
      <c r="J64" s="175">
        <f>Calc!AE65</f>
        <v>0</v>
      </c>
      <c r="K64" s="122">
        <f>Calc!AF65</f>
        <v>0</v>
      </c>
      <c r="L64" s="122" t="str">
        <f ca="1">IF(Calc!AG65="Gewinn","eventueller Verlust",Calc!AG65)</f>
        <v/>
      </c>
      <c r="M64" s="117" t="str">
        <f ca="1">IF(L64="Total",SUM(M$6:M63)+0.0001,"")</f>
        <v/>
      </c>
      <c r="N64" s="117" t="str">
        <f ca="1">IF(L64="Total",SUM(N$6:N63)+0.0001,"")</f>
        <v/>
      </c>
      <c r="O64" s="75" t="str">
        <f ca="1">IF(L64="Total",SUM(O$6:O63)+0.0001,Calc!AH65)</f>
        <v/>
      </c>
      <c r="P64" s="167" t="str">
        <f t="shared" ca="1" si="2"/>
        <v/>
      </c>
      <c r="Q64" s="117" t="str">
        <f ca="1">IF(L64="Total",SUM(Q$6:Q63)+0.0001,"")</f>
        <v/>
      </c>
      <c r="V64">
        <v>2</v>
      </c>
      <c r="W64">
        <f t="shared" ca="1" si="3"/>
        <v>0</v>
      </c>
    </row>
    <row r="65" spans="1:23" ht="15">
      <c r="A65" s="123">
        <f>Calc!Y66</f>
        <v>0</v>
      </c>
      <c r="B65" s="122">
        <f>Calc!Z66</f>
        <v>0</v>
      </c>
      <c r="C65" s="122" t="str">
        <f ca="1">IF(Calc!AA66="Verlust","eventueller Gewinn",Calc!AA66)</f>
        <v/>
      </c>
      <c r="D65" s="117" t="str">
        <f ca="1">IF(C65="Total",SUM(D$6:D64)+0.0001,"")</f>
        <v/>
      </c>
      <c r="E65" s="117" t="str">
        <f ca="1">IF(C65="Total",SUM(E$6:E64)+0.0001,"")</f>
        <v/>
      </c>
      <c r="F65" s="75" t="str">
        <f ca="1">IF(C65="Total",SUM(F$5:F64)+0.0001,Calc!AB66)</f>
        <v/>
      </c>
      <c r="G65" s="167" t="str">
        <f t="shared" ca="1" si="1"/>
        <v/>
      </c>
      <c r="H65" s="173" t="str">
        <f ca="1">IF(C65="Total",SUM(H$6:H64)+0.0001,"")</f>
        <v/>
      </c>
      <c r="I65" s="178"/>
      <c r="J65" s="175">
        <f>Calc!AE66</f>
        <v>0</v>
      </c>
      <c r="K65" s="122">
        <f>Calc!AF66</f>
        <v>0</v>
      </c>
      <c r="L65" s="122" t="str">
        <f ca="1">IF(Calc!AG66="Gewinn","eventueller Verlust",Calc!AG66)</f>
        <v/>
      </c>
      <c r="M65" s="117" t="str">
        <f ca="1">IF(L65="Total",SUM(M$6:M64)+0.0001,"")</f>
        <v/>
      </c>
      <c r="N65" s="117" t="str">
        <f ca="1">IF(L65="Total",SUM(N$6:N64)+0.0001,"")</f>
        <v/>
      </c>
      <c r="O65" s="75" t="str">
        <f ca="1">IF(L65="Total",SUM(O$6:O64)+0.0001,Calc!AH66)</f>
        <v/>
      </c>
      <c r="P65" s="167" t="str">
        <f t="shared" ca="1" si="2"/>
        <v/>
      </c>
      <c r="Q65" s="117" t="str">
        <f ca="1">IF(L65="Total",SUM(Q$6:Q64)+0.0001,"")</f>
        <v/>
      </c>
      <c r="V65">
        <v>2</v>
      </c>
      <c r="W65">
        <f t="shared" ca="1" si="3"/>
        <v>0</v>
      </c>
    </row>
    <row r="66" spans="1:23" ht="15">
      <c r="A66" s="123">
        <f>Calc!Y67</f>
        <v>0</v>
      </c>
      <c r="B66" s="122">
        <f>Calc!Z67</f>
        <v>0</v>
      </c>
      <c r="C66" s="122" t="str">
        <f ca="1">IF(Calc!AA67="Verlust","eventueller Gewinn",Calc!AA67)</f>
        <v/>
      </c>
      <c r="D66" s="117" t="str">
        <f ca="1">IF(C66="Total",SUM(D$6:D65)+0.0001,"")</f>
        <v/>
      </c>
      <c r="E66" s="117" t="str">
        <f ca="1">IF(C66="Total",SUM(E$6:E65)+0.0001,"")</f>
        <v/>
      </c>
      <c r="F66" s="75" t="str">
        <f ca="1">IF(C66="Total",SUM(F$5:F65)+0.0001,Calc!AB67)</f>
        <v/>
      </c>
      <c r="G66" s="167" t="str">
        <f t="shared" ca="1" si="1"/>
        <v/>
      </c>
      <c r="H66" s="173" t="str">
        <f ca="1">IF(C66="Total",SUM(H$6:H65)+0.0001,"")</f>
        <v/>
      </c>
      <c r="I66" s="178"/>
      <c r="J66" s="175">
        <f>Calc!AE67</f>
        <v>0</v>
      </c>
      <c r="K66" s="122">
        <f>Calc!AF67</f>
        <v>0</v>
      </c>
      <c r="L66" s="122" t="str">
        <f ca="1">IF(Calc!AG67="Gewinn","eventueller Verlust",Calc!AG67)</f>
        <v/>
      </c>
      <c r="M66" s="117" t="str">
        <f ca="1">IF(L66="Total",SUM(M$6:M65)+0.0001,"")</f>
        <v/>
      </c>
      <c r="N66" s="117" t="str">
        <f ca="1">IF(L66="Total",SUM(N$6:N65)+0.0001,"")</f>
        <v/>
      </c>
      <c r="O66" s="75" t="str">
        <f ca="1">IF(L66="Total",SUM(O$6:O65)+0.0001,Calc!AH67)</f>
        <v/>
      </c>
      <c r="P66" s="167" t="str">
        <f t="shared" ca="1" si="2"/>
        <v/>
      </c>
      <c r="Q66" s="117" t="str">
        <f ca="1">IF(L66="Total",SUM(Q$6:Q65)+0.0001,"")</f>
        <v/>
      </c>
      <c r="V66">
        <v>2</v>
      </c>
      <c r="W66">
        <f t="shared" ca="1" si="3"/>
        <v>0</v>
      </c>
    </row>
    <row r="67" spans="1:23" ht="15">
      <c r="A67" s="123">
        <f>Calc!Y68</f>
        <v>0</v>
      </c>
      <c r="B67" s="122">
        <f>Calc!Z68</f>
        <v>0</v>
      </c>
      <c r="C67" s="122" t="str">
        <f ca="1">IF(Calc!AA68="Verlust","eventueller Gewinn",Calc!AA68)</f>
        <v/>
      </c>
      <c r="D67" s="117" t="str">
        <f ca="1">IF(C67="Total",SUM(D$6:D66)+0.0001,"")</f>
        <v/>
      </c>
      <c r="E67" s="117" t="str">
        <f ca="1">IF(C67="Total",SUM(E$6:E66)+0.0001,"")</f>
        <v/>
      </c>
      <c r="F67" s="75" t="str">
        <f ca="1">IF(C67="Total",SUM(F$5:F66)+0.0001,Calc!AB68)</f>
        <v/>
      </c>
      <c r="G67" s="167" t="str">
        <f t="shared" ca="1" si="1"/>
        <v/>
      </c>
      <c r="H67" s="173" t="str">
        <f ca="1">IF(C67="Total",SUM(H$6:H66)+0.0001,"")</f>
        <v/>
      </c>
      <c r="I67" s="178"/>
      <c r="J67" s="175">
        <f>Calc!AE68</f>
        <v>0</v>
      </c>
      <c r="K67" s="122">
        <f>Calc!AF68</f>
        <v>0</v>
      </c>
      <c r="L67" s="122" t="str">
        <f ca="1">IF(Calc!AG68="Gewinn","eventueller Verlust",Calc!AG68)</f>
        <v/>
      </c>
      <c r="M67" s="117" t="str">
        <f ca="1">IF(L67="Total",SUM(M$6:M66)+0.0001,"")</f>
        <v/>
      </c>
      <c r="N67" s="117" t="str">
        <f ca="1">IF(L67="Total",SUM(N$6:N66)+0.0001,"")</f>
        <v/>
      </c>
      <c r="O67" s="75" t="str">
        <f ca="1">IF(L67="Total",SUM(O$6:O66)+0.0001,Calc!AH68)</f>
        <v/>
      </c>
      <c r="P67" s="167" t="str">
        <f t="shared" ca="1" si="2"/>
        <v/>
      </c>
      <c r="Q67" s="117" t="str">
        <f ca="1">IF(L67="Total",SUM(Q$6:Q66)+0.0001,"")</f>
        <v/>
      </c>
      <c r="V67">
        <v>2</v>
      </c>
      <c r="W67">
        <f t="shared" ca="1" si="3"/>
        <v>0</v>
      </c>
    </row>
    <row r="68" spans="1:23" ht="15">
      <c r="A68" s="123">
        <f>Calc!Y69</f>
        <v>0</v>
      </c>
      <c r="B68" s="122">
        <f>Calc!Z69</f>
        <v>0</v>
      </c>
      <c r="C68" s="122" t="str">
        <f ca="1">IF(Calc!AA69="Verlust","eventueller Gewinn",Calc!AA69)</f>
        <v/>
      </c>
      <c r="D68" s="117" t="str">
        <f ca="1">IF(C68="Total",SUM(D$6:D67)+0.0001,"")</f>
        <v/>
      </c>
      <c r="E68" s="117" t="str">
        <f ca="1">IF(C68="Total",SUM(E$6:E67)+0.0001,"")</f>
        <v/>
      </c>
      <c r="F68" s="75" t="str">
        <f ca="1">IF(C68="Total",SUM(F$5:F67)+0.0001,Calc!AB69)</f>
        <v/>
      </c>
      <c r="G68" s="167" t="str">
        <f t="shared" ca="1" si="1"/>
        <v/>
      </c>
      <c r="H68" s="173" t="str">
        <f ca="1">IF(C68="Total",SUM(H$6:H67)+0.0001,"")</f>
        <v/>
      </c>
      <c r="I68" s="178"/>
      <c r="J68" s="175">
        <f>Calc!AE69</f>
        <v>0</v>
      </c>
      <c r="K68" s="122">
        <f>Calc!AF69</f>
        <v>0</v>
      </c>
      <c r="L68" s="122" t="str">
        <f ca="1">IF(Calc!AG69="Gewinn","eventueller Verlust",Calc!AG69)</f>
        <v/>
      </c>
      <c r="M68" s="117" t="str">
        <f ca="1">IF(L68="Total",SUM(M$6:M67)+0.0001,"")</f>
        <v/>
      </c>
      <c r="N68" s="117" t="str">
        <f ca="1">IF(L68="Total",SUM(N$6:N67)+0.0001,"")</f>
        <v/>
      </c>
      <c r="O68" s="75" t="str">
        <f ca="1">IF(L68="Total",SUM(O$6:O67)+0.0001,Calc!AH69)</f>
        <v/>
      </c>
      <c r="P68" s="167" t="str">
        <f t="shared" ca="1" si="2"/>
        <v/>
      </c>
      <c r="Q68" s="117" t="str">
        <f ca="1">IF(L68="Total",SUM(Q$6:Q67)+0.0001,"")</f>
        <v/>
      </c>
      <c r="V68">
        <v>2</v>
      </c>
      <c r="W68">
        <f t="shared" ca="1" si="3"/>
        <v>0</v>
      </c>
    </row>
    <row r="69" spans="1:23" ht="15">
      <c r="A69" s="123">
        <f>Calc!Y70</f>
        <v>0</v>
      </c>
      <c r="B69" s="122">
        <f>Calc!Z70</f>
        <v>0</v>
      </c>
      <c r="C69" s="122" t="str">
        <f ca="1">IF(Calc!AA70="Verlust","eventueller Gewinn",Calc!AA70)</f>
        <v/>
      </c>
      <c r="D69" s="117" t="str">
        <f ca="1">IF(C69="Total",SUM(D$6:D68)+0.0001,"")</f>
        <v/>
      </c>
      <c r="E69" s="117" t="str">
        <f ca="1">IF(C69="Total",SUM(E$6:E68)+0.0001,"")</f>
        <v/>
      </c>
      <c r="F69" s="75" t="str">
        <f ca="1">IF(C69="Total",SUM(F$5:F68)+0.0001,Calc!AB70)</f>
        <v/>
      </c>
      <c r="G69" s="167" t="str">
        <f t="shared" ca="1" si="1"/>
        <v/>
      </c>
      <c r="H69" s="173" t="str">
        <f ca="1">IF(C69="Total",SUM(H$6:H68)+0.0001,"")</f>
        <v/>
      </c>
      <c r="I69" s="178"/>
      <c r="J69" s="175">
        <f>Calc!AE70</f>
        <v>0</v>
      </c>
      <c r="K69" s="122">
        <f>Calc!AF70</f>
        <v>0</v>
      </c>
      <c r="L69" s="122" t="str">
        <f ca="1">IF(Calc!AG70="Gewinn","eventueller Verlust",Calc!AG70)</f>
        <v/>
      </c>
      <c r="M69" s="117" t="str">
        <f ca="1">IF(L69="Total",SUM(M$6:M68)+0.0001,"")</f>
        <v/>
      </c>
      <c r="N69" s="117" t="str">
        <f ca="1">IF(L69="Total",SUM(N$6:N68)+0.0001,"")</f>
        <v/>
      </c>
      <c r="O69" s="75" t="str">
        <f ca="1">IF(L69="Total",SUM(O$6:O68)+0.0001,Calc!AH70)</f>
        <v/>
      </c>
      <c r="P69" s="167" t="str">
        <f t="shared" ca="1" si="2"/>
        <v/>
      </c>
      <c r="Q69" s="117" t="str">
        <f ca="1">IF(L69="Total",SUM(Q$6:Q68)+0.0001,"")</f>
        <v/>
      </c>
      <c r="V69">
        <v>2</v>
      </c>
      <c r="W69">
        <f t="shared" ca="1" si="3"/>
        <v>0</v>
      </c>
    </row>
    <row r="70" spans="1:23" ht="15">
      <c r="A70" s="123">
        <f>Calc!Y71</f>
        <v>0</v>
      </c>
      <c r="B70" s="122">
        <f>Calc!Z71</f>
        <v>0</v>
      </c>
      <c r="C70" s="122" t="str">
        <f ca="1">IF(Calc!AA71="Verlust","eventueller Gewinn",Calc!AA71)</f>
        <v/>
      </c>
      <c r="D70" s="117" t="str">
        <f ca="1">IF(C70="Total",SUM(D$6:D69)+0.0001,"")</f>
        <v/>
      </c>
      <c r="E70" s="117" t="str">
        <f ca="1">IF(C70="Total",SUM(E$6:E69)+0.0001,"")</f>
        <v/>
      </c>
      <c r="F70" s="75" t="str">
        <f ca="1">IF(C70="Total",SUM(F$5:F69)+0.0001,Calc!AB71)</f>
        <v/>
      </c>
      <c r="G70" s="167" t="str">
        <f t="shared" ca="1" si="1"/>
        <v/>
      </c>
      <c r="H70" s="173" t="str">
        <f ca="1">IF(C70="Total",SUM(H$6:H69)+0.0001,"")</f>
        <v/>
      </c>
      <c r="I70" s="178"/>
      <c r="J70" s="175">
        <f>Calc!AE71</f>
        <v>0</v>
      </c>
      <c r="K70" s="122">
        <f>Calc!AF71</f>
        <v>0</v>
      </c>
      <c r="L70" s="122" t="str">
        <f ca="1">IF(Calc!AG71="Gewinn","eventueller Verlust",Calc!AG71)</f>
        <v/>
      </c>
      <c r="M70" s="117" t="str">
        <f ca="1">IF(L70="Total",SUM(M$6:M69)+0.0001,"")</f>
        <v/>
      </c>
      <c r="N70" s="117" t="str">
        <f ca="1">IF(L70="Total",SUM(N$6:N69)+0.0001,"")</f>
        <v/>
      </c>
      <c r="O70" s="75" t="str">
        <f ca="1">IF(L70="Total",SUM(O$6:O69)+0.0001,Calc!AH71)</f>
        <v/>
      </c>
      <c r="P70" s="167" t="str">
        <f t="shared" ref="P70:P133" ca="1" si="4">IF(N70&lt;&gt;"",(O70-N70)/N70,"")</f>
        <v/>
      </c>
      <c r="Q70" s="117" t="str">
        <f ca="1">IF(L70="Total",SUM(Q$6:Q69)+0.0001,"")</f>
        <v/>
      </c>
      <c r="V70">
        <v>2</v>
      </c>
      <c r="W70">
        <f t="shared" ca="1" si="3"/>
        <v>0</v>
      </c>
    </row>
    <row r="71" spans="1:23" ht="15">
      <c r="A71" s="123">
        <f>Calc!Y72</f>
        <v>0</v>
      </c>
      <c r="B71" s="122">
        <f>Calc!Z72</f>
        <v>0</v>
      </c>
      <c r="C71" s="122" t="str">
        <f ca="1">IF(Calc!AA72="Verlust","eventueller Gewinn",Calc!AA72)</f>
        <v/>
      </c>
      <c r="D71" s="117" t="str">
        <f ca="1">IF(C71="Total",SUM(D$6:D70)+0.0001,"")</f>
        <v/>
      </c>
      <c r="E71" s="117" t="str">
        <f ca="1">IF(C71="Total",SUM(E$6:E70)+0.0001,"")</f>
        <v/>
      </c>
      <c r="F71" s="75" t="str">
        <f ca="1">IF(C71="Total",SUM(F$5:F70)+0.0001,Calc!AB72)</f>
        <v/>
      </c>
      <c r="G71" s="167" t="str">
        <f t="shared" ref="G71:G134" ca="1" si="5">IF(E71&lt;&gt;"",(F71-E71)/E71,"")</f>
        <v/>
      </c>
      <c r="H71" s="173" t="str">
        <f ca="1">IF(C71="Total",SUM(H$6:H70)+0.0001,"")</f>
        <v/>
      </c>
      <c r="I71" s="178"/>
      <c r="J71" s="175">
        <f>Calc!AE72</f>
        <v>0</v>
      </c>
      <c r="K71" s="122">
        <f>Calc!AF72</f>
        <v>0</v>
      </c>
      <c r="L71" s="122" t="str">
        <f ca="1">IF(Calc!AG72="Gewinn","eventueller Verlust",Calc!AG72)</f>
        <v/>
      </c>
      <c r="M71" s="117" t="str">
        <f ca="1">IF(L71="Total",SUM(M$6:M70)+0.0001,"")</f>
        <v/>
      </c>
      <c r="N71" s="117" t="str">
        <f ca="1">IF(L71="Total",SUM(N$6:N70)+0.0001,"")</f>
        <v/>
      </c>
      <c r="O71" s="75" t="str">
        <f ca="1">IF(L71="Total",SUM(O$6:O70)+0.0001,Calc!AH72)</f>
        <v/>
      </c>
      <c r="P71" s="167" t="str">
        <f t="shared" ca="1" si="4"/>
        <v/>
      </c>
      <c r="Q71" s="117" t="str">
        <f ca="1">IF(L71="Total",SUM(Q$6:Q70)+0.0001,"")</f>
        <v/>
      </c>
      <c r="V71">
        <v>2</v>
      </c>
      <c r="W71">
        <f t="shared" ref="W71:W134" ca="1" si="6">IF(C71="Total",V71,0)</f>
        <v>0</v>
      </c>
    </row>
    <row r="72" spans="1:23" ht="15">
      <c r="A72" s="123">
        <f>Calc!Y73</f>
        <v>0</v>
      </c>
      <c r="B72" s="122">
        <f>Calc!Z73</f>
        <v>0</v>
      </c>
      <c r="C72" s="122" t="str">
        <f ca="1">IF(Calc!AA73="Verlust","eventueller Gewinn",Calc!AA73)</f>
        <v/>
      </c>
      <c r="D72" s="117" t="str">
        <f ca="1">IF(C72="Total",SUM(D$6:D71)+0.0001,"")</f>
        <v/>
      </c>
      <c r="E72" s="117" t="str">
        <f ca="1">IF(C72="Total",SUM(E$6:E71)+0.0001,"")</f>
        <v/>
      </c>
      <c r="F72" s="75" t="str">
        <f ca="1">IF(C72="Total",SUM(F$5:F71)+0.0001,Calc!AB73)</f>
        <v/>
      </c>
      <c r="G72" s="167" t="str">
        <f t="shared" ca="1" si="5"/>
        <v/>
      </c>
      <c r="H72" s="173" t="str">
        <f ca="1">IF(C72="Total",SUM(H$6:H71)+0.0001,"")</f>
        <v/>
      </c>
      <c r="I72" s="178"/>
      <c r="J72" s="175">
        <f>Calc!AE73</f>
        <v>0</v>
      </c>
      <c r="K72" s="122">
        <f>Calc!AF73</f>
        <v>0</v>
      </c>
      <c r="L72" s="122" t="str">
        <f ca="1">IF(Calc!AG73="Gewinn","eventueller Verlust",Calc!AG73)</f>
        <v/>
      </c>
      <c r="M72" s="117" t="str">
        <f ca="1">IF(L72="Total",SUM(M$6:M71)+0.0001,"")</f>
        <v/>
      </c>
      <c r="N72" s="117" t="str">
        <f ca="1">IF(L72="Total",SUM(N$6:N71)+0.0001,"")</f>
        <v/>
      </c>
      <c r="O72" s="75" t="str">
        <f ca="1">IF(L72="Total",SUM(O$6:O71)+0.0001,Calc!AH73)</f>
        <v/>
      </c>
      <c r="P72" s="167" t="str">
        <f t="shared" ca="1" si="4"/>
        <v/>
      </c>
      <c r="Q72" s="117" t="str">
        <f ca="1">IF(L72="Total",SUM(Q$6:Q71)+0.0001,"")</f>
        <v/>
      </c>
      <c r="V72">
        <v>2</v>
      </c>
      <c r="W72">
        <f t="shared" ca="1" si="6"/>
        <v>0</v>
      </c>
    </row>
    <row r="73" spans="1:23" ht="15">
      <c r="A73" s="123">
        <f>Calc!Y74</f>
        <v>0</v>
      </c>
      <c r="B73" s="122">
        <f>Calc!Z74</f>
        <v>0</v>
      </c>
      <c r="C73" s="122" t="str">
        <f ca="1">IF(Calc!AA74="Verlust","eventueller Gewinn",Calc!AA74)</f>
        <v/>
      </c>
      <c r="D73" s="117" t="str">
        <f ca="1">IF(C73="Total",SUM(D$6:D72)+0.0001,"")</f>
        <v/>
      </c>
      <c r="E73" s="117" t="str">
        <f ca="1">IF(C73="Total",SUM(E$6:E72)+0.0001,"")</f>
        <v/>
      </c>
      <c r="F73" s="75" t="str">
        <f ca="1">IF(C73="Total",SUM(F$5:F72)+0.0001,Calc!AB74)</f>
        <v/>
      </c>
      <c r="G73" s="167" t="str">
        <f t="shared" ca="1" si="5"/>
        <v/>
      </c>
      <c r="H73" s="173" t="str">
        <f ca="1">IF(C73="Total",SUM(H$6:H72)+0.0001,"")</f>
        <v/>
      </c>
      <c r="I73" s="178"/>
      <c r="J73" s="175">
        <f>Calc!AE74</f>
        <v>0</v>
      </c>
      <c r="K73" s="122">
        <f>Calc!AF74</f>
        <v>0</v>
      </c>
      <c r="L73" s="122" t="str">
        <f ca="1">IF(Calc!AG74="Gewinn","eventueller Verlust",Calc!AG74)</f>
        <v/>
      </c>
      <c r="M73" s="117" t="str">
        <f ca="1">IF(L73="Total",SUM(M$6:M72)+0.0001,"")</f>
        <v/>
      </c>
      <c r="N73" s="117" t="str">
        <f ca="1">IF(L73="Total",SUM(N$6:N72)+0.0001,"")</f>
        <v/>
      </c>
      <c r="O73" s="75" t="str">
        <f ca="1">IF(L73="Total",SUM(O$6:O72)+0.0001,Calc!AH74)</f>
        <v/>
      </c>
      <c r="P73" s="167" t="str">
        <f t="shared" ca="1" si="4"/>
        <v/>
      </c>
      <c r="Q73" s="117" t="str">
        <f ca="1">IF(L73="Total",SUM(Q$6:Q72)+0.0001,"")</f>
        <v/>
      </c>
      <c r="V73">
        <v>2</v>
      </c>
      <c r="W73">
        <f t="shared" ca="1" si="6"/>
        <v>0</v>
      </c>
    </row>
    <row r="74" spans="1:23" ht="15">
      <c r="A74" s="123">
        <f>Calc!Y75</f>
        <v>0</v>
      </c>
      <c r="B74" s="122">
        <f>Calc!Z75</f>
        <v>0</v>
      </c>
      <c r="C74" s="122" t="str">
        <f ca="1">IF(Calc!AA75="Verlust","eventueller Gewinn",Calc!AA75)</f>
        <v/>
      </c>
      <c r="D74" s="117" t="str">
        <f ca="1">IF(C74="Total",SUM(D$6:D73)+0.0001,"")</f>
        <v/>
      </c>
      <c r="E74" s="117" t="str">
        <f ca="1">IF(C74="Total",SUM(E$6:E73)+0.0001,"")</f>
        <v/>
      </c>
      <c r="F74" s="75" t="str">
        <f ca="1">IF(C74="Total",SUM(F$5:F73)+0.0001,Calc!AB75)</f>
        <v/>
      </c>
      <c r="G74" s="167" t="str">
        <f t="shared" ca="1" si="5"/>
        <v/>
      </c>
      <c r="H74" s="173" t="str">
        <f ca="1">IF(C74="Total",SUM(H$6:H73)+0.0001,"")</f>
        <v/>
      </c>
      <c r="I74" s="178"/>
      <c r="J74" s="175">
        <f>Calc!AE75</f>
        <v>0</v>
      </c>
      <c r="K74" s="122">
        <f>Calc!AF75</f>
        <v>0</v>
      </c>
      <c r="L74" s="122" t="str">
        <f ca="1">IF(Calc!AG75="Gewinn","eventueller Verlust",Calc!AG75)</f>
        <v/>
      </c>
      <c r="M74" s="117" t="str">
        <f ca="1">IF(L74="Total",SUM(M$6:M73)+0.0001,"")</f>
        <v/>
      </c>
      <c r="N74" s="117" t="str">
        <f ca="1">IF(L74="Total",SUM(N$6:N73)+0.0001,"")</f>
        <v/>
      </c>
      <c r="O74" s="75" t="str">
        <f ca="1">IF(L74="Total",SUM(O$6:O73)+0.0001,Calc!AH75)</f>
        <v/>
      </c>
      <c r="P74" s="167" t="str">
        <f t="shared" ca="1" si="4"/>
        <v/>
      </c>
      <c r="Q74" s="117" t="str">
        <f ca="1">IF(L74="Total",SUM(Q$6:Q73)+0.0001,"")</f>
        <v/>
      </c>
      <c r="V74">
        <v>2</v>
      </c>
      <c r="W74">
        <f t="shared" ca="1" si="6"/>
        <v>0</v>
      </c>
    </row>
    <row r="75" spans="1:23" ht="15">
      <c r="A75" s="123">
        <f>Calc!Y76</f>
        <v>0</v>
      </c>
      <c r="B75" s="122">
        <f>Calc!Z76</f>
        <v>0</v>
      </c>
      <c r="C75" s="122" t="str">
        <f ca="1">IF(Calc!AA76="Verlust","eventueller Gewinn",Calc!AA76)</f>
        <v/>
      </c>
      <c r="D75" s="117" t="str">
        <f ca="1">IF(C75="Total",SUM(D$6:D74)+0.0001,"")</f>
        <v/>
      </c>
      <c r="E75" s="117" t="str">
        <f ca="1">IF(C75="Total",SUM(E$6:E74)+0.0001,"")</f>
        <v/>
      </c>
      <c r="F75" s="75" t="str">
        <f ca="1">IF(C75="Total",SUM(F$5:F74)+0.0001,Calc!AB76)</f>
        <v/>
      </c>
      <c r="G75" s="167" t="str">
        <f t="shared" ca="1" si="5"/>
        <v/>
      </c>
      <c r="H75" s="173" t="str">
        <f ca="1">IF(C75="Total",SUM(H$6:H74)+0.0001,"")</f>
        <v/>
      </c>
      <c r="I75" s="178"/>
      <c r="J75" s="175">
        <f>Calc!AE76</f>
        <v>0</v>
      </c>
      <c r="K75" s="122">
        <f>Calc!AF76</f>
        <v>0</v>
      </c>
      <c r="L75" s="122" t="str">
        <f ca="1">IF(Calc!AG76="Gewinn","eventueller Verlust",Calc!AG76)</f>
        <v/>
      </c>
      <c r="M75" s="117" t="str">
        <f ca="1">IF(L75="Total",SUM(M$6:M74)+0.0001,"")</f>
        <v/>
      </c>
      <c r="N75" s="117" t="str">
        <f ca="1">IF(L75="Total",SUM(N$6:N74)+0.0001,"")</f>
        <v/>
      </c>
      <c r="O75" s="75" t="str">
        <f ca="1">IF(L75="Total",SUM(O$6:O74)+0.0001,Calc!AH76)</f>
        <v/>
      </c>
      <c r="P75" s="167" t="str">
        <f t="shared" ca="1" si="4"/>
        <v/>
      </c>
      <c r="Q75" s="117" t="str">
        <f ca="1">IF(L75="Total",SUM(Q$6:Q74)+0.0001,"")</f>
        <v/>
      </c>
      <c r="V75">
        <v>2</v>
      </c>
      <c r="W75">
        <f t="shared" ca="1" si="6"/>
        <v>0</v>
      </c>
    </row>
    <row r="76" spans="1:23" ht="15">
      <c r="A76" s="123">
        <f>Calc!Y77</f>
        <v>0</v>
      </c>
      <c r="B76" s="122">
        <f>Calc!Z77</f>
        <v>0</v>
      </c>
      <c r="C76" s="122" t="str">
        <f ca="1">IF(Calc!AA77="Verlust","eventueller Gewinn",Calc!AA77)</f>
        <v/>
      </c>
      <c r="D76" s="117" t="str">
        <f ca="1">IF(C76="Total",SUM(D$6:D75)+0.0001,"")</f>
        <v/>
      </c>
      <c r="E76" s="117" t="str">
        <f ca="1">IF(C76="Total",SUM(E$6:E75)+0.0001,"")</f>
        <v/>
      </c>
      <c r="F76" s="75" t="str">
        <f ca="1">IF(C76="Total",SUM(F$5:F75)+0.0001,Calc!AB77)</f>
        <v/>
      </c>
      <c r="G76" s="167" t="str">
        <f t="shared" ca="1" si="5"/>
        <v/>
      </c>
      <c r="H76" s="173" t="str">
        <f ca="1">IF(C76="Total",SUM(H$6:H75)+0.0001,"")</f>
        <v/>
      </c>
      <c r="I76" s="178"/>
      <c r="J76" s="175">
        <f>Calc!AE77</f>
        <v>0</v>
      </c>
      <c r="K76" s="122">
        <f>Calc!AF77</f>
        <v>0</v>
      </c>
      <c r="L76" s="122" t="str">
        <f ca="1">IF(Calc!AG77="Gewinn","eventueller Verlust",Calc!AG77)</f>
        <v/>
      </c>
      <c r="M76" s="117" t="str">
        <f ca="1">IF(L76="Total",SUM(M$6:M75)+0.0001,"")</f>
        <v/>
      </c>
      <c r="N76" s="117" t="str">
        <f ca="1">IF(L76="Total",SUM(N$6:N75)+0.0001,"")</f>
        <v/>
      </c>
      <c r="O76" s="75" t="str">
        <f ca="1">IF(L76="Total",SUM(O$6:O75)+0.0001,Calc!AH77)</f>
        <v/>
      </c>
      <c r="P76" s="167" t="str">
        <f t="shared" ca="1" si="4"/>
        <v/>
      </c>
      <c r="Q76" s="117" t="str">
        <f ca="1">IF(L76="Total",SUM(Q$6:Q75)+0.0001,"")</f>
        <v/>
      </c>
      <c r="V76">
        <v>2</v>
      </c>
      <c r="W76">
        <f t="shared" ca="1" si="6"/>
        <v>0</v>
      </c>
    </row>
    <row r="77" spans="1:23" ht="15">
      <c r="A77" s="123">
        <f>Calc!Y78</f>
        <v>0</v>
      </c>
      <c r="B77" s="122">
        <f>Calc!Z78</f>
        <v>0</v>
      </c>
      <c r="C77" s="122" t="str">
        <f ca="1">IF(Calc!AA78="Verlust","eventueller Gewinn",Calc!AA78)</f>
        <v/>
      </c>
      <c r="D77" s="117" t="str">
        <f ca="1">IF(C77="Total",SUM(D$6:D76)+0.0001,"")</f>
        <v/>
      </c>
      <c r="E77" s="117" t="str">
        <f ca="1">IF(C77="Total",SUM(E$6:E76)+0.0001,"")</f>
        <v/>
      </c>
      <c r="F77" s="75" t="str">
        <f ca="1">IF(C77="Total",SUM(F$5:F76)+0.0001,Calc!AB78)</f>
        <v/>
      </c>
      <c r="G77" s="167" t="str">
        <f t="shared" ca="1" si="5"/>
        <v/>
      </c>
      <c r="H77" s="173" t="str">
        <f ca="1">IF(C77="Total",SUM(H$6:H76)+0.0001,"")</f>
        <v/>
      </c>
      <c r="I77" s="178"/>
      <c r="J77" s="175">
        <f>Calc!AE78</f>
        <v>0</v>
      </c>
      <c r="K77" s="122">
        <f>Calc!AF78</f>
        <v>0</v>
      </c>
      <c r="L77" s="122" t="str">
        <f ca="1">IF(Calc!AG78="Gewinn","eventueller Verlust",Calc!AG78)</f>
        <v/>
      </c>
      <c r="M77" s="117" t="str">
        <f ca="1">IF(L77="Total",SUM(M$6:M76)+0.0001,"")</f>
        <v/>
      </c>
      <c r="N77" s="117" t="str">
        <f ca="1">IF(L77="Total",SUM(N$6:N76)+0.0001,"")</f>
        <v/>
      </c>
      <c r="O77" s="75" t="str">
        <f ca="1">IF(L77="Total",SUM(O$6:O76)+0.0001,Calc!AH78)</f>
        <v/>
      </c>
      <c r="P77" s="167" t="str">
        <f t="shared" ca="1" si="4"/>
        <v/>
      </c>
      <c r="Q77" s="117" t="str">
        <f ca="1">IF(L77="Total",SUM(Q$6:Q76)+0.0001,"")</f>
        <v/>
      </c>
      <c r="V77">
        <v>2</v>
      </c>
      <c r="W77">
        <f t="shared" ca="1" si="6"/>
        <v>0</v>
      </c>
    </row>
    <row r="78" spans="1:23" ht="15">
      <c r="A78" s="123">
        <f>Calc!Y79</f>
        <v>0</v>
      </c>
      <c r="B78" s="122">
        <f>Calc!Z79</f>
        <v>0</v>
      </c>
      <c r="C78" s="122" t="str">
        <f ca="1">IF(Calc!AA79="Verlust","eventueller Gewinn",Calc!AA79)</f>
        <v/>
      </c>
      <c r="D78" s="117" t="str">
        <f ca="1">IF(C78="Total",SUM(D$6:D77)+0.0001,"")</f>
        <v/>
      </c>
      <c r="E78" s="117" t="str">
        <f ca="1">IF(C78="Total",SUM(E$6:E77)+0.0001,"")</f>
        <v/>
      </c>
      <c r="F78" s="75" t="str">
        <f ca="1">IF(C78="Total",SUM(F$5:F77)+0.0001,Calc!AB79)</f>
        <v/>
      </c>
      <c r="G78" s="167" t="str">
        <f t="shared" ca="1" si="5"/>
        <v/>
      </c>
      <c r="H78" s="173" t="str">
        <f ca="1">IF(C78="Total",SUM(H$6:H77)+0.0001,"")</f>
        <v/>
      </c>
      <c r="I78" s="178"/>
      <c r="J78" s="175">
        <f>Calc!AE79</f>
        <v>0</v>
      </c>
      <c r="K78" s="122">
        <f>Calc!AF79</f>
        <v>0</v>
      </c>
      <c r="L78" s="122" t="str">
        <f ca="1">IF(Calc!AG79="Gewinn","eventueller Verlust",Calc!AG79)</f>
        <v/>
      </c>
      <c r="M78" s="117" t="str">
        <f ca="1">IF(L78="Total",SUM(M$6:M77)+0.0001,"")</f>
        <v/>
      </c>
      <c r="N78" s="117" t="str">
        <f ca="1">IF(L78="Total",SUM(N$6:N77)+0.0001,"")</f>
        <v/>
      </c>
      <c r="O78" s="75" t="str">
        <f ca="1">IF(L78="Total",SUM(O$6:O77)+0.0001,Calc!AH79)</f>
        <v/>
      </c>
      <c r="P78" s="167" t="str">
        <f t="shared" ca="1" si="4"/>
        <v/>
      </c>
      <c r="Q78" s="117" t="str">
        <f ca="1">IF(L78="Total",SUM(Q$6:Q77)+0.0001,"")</f>
        <v/>
      </c>
      <c r="V78">
        <v>2</v>
      </c>
      <c r="W78">
        <f t="shared" ca="1" si="6"/>
        <v>0</v>
      </c>
    </row>
    <row r="79" spans="1:23" ht="15">
      <c r="A79" s="123">
        <f>Calc!Y80</f>
        <v>0</v>
      </c>
      <c r="B79" s="122">
        <f>Calc!Z80</f>
        <v>0</v>
      </c>
      <c r="C79" s="122" t="str">
        <f ca="1">IF(Calc!AA80="Verlust","eventueller Gewinn",Calc!AA80)</f>
        <v/>
      </c>
      <c r="D79" s="117" t="str">
        <f ca="1">IF(C79="Total",SUM(D$6:D78)+0.0001,"")</f>
        <v/>
      </c>
      <c r="E79" s="117" t="str">
        <f ca="1">IF(C79="Total",SUM(E$6:E78)+0.0001,"")</f>
        <v/>
      </c>
      <c r="F79" s="75" t="str">
        <f ca="1">IF(C79="Total",SUM(F$5:F78)+0.0001,Calc!AB80)</f>
        <v/>
      </c>
      <c r="G79" s="167" t="str">
        <f t="shared" ca="1" si="5"/>
        <v/>
      </c>
      <c r="H79" s="173" t="str">
        <f ca="1">IF(C79="Total",SUM(H$6:H78)+0.0001,"")</f>
        <v/>
      </c>
      <c r="I79" s="178"/>
      <c r="J79" s="175">
        <f>Calc!AE80</f>
        <v>0</v>
      </c>
      <c r="K79" s="122">
        <f>Calc!AF80</f>
        <v>0</v>
      </c>
      <c r="L79" s="122" t="str">
        <f ca="1">IF(Calc!AG80="Gewinn","eventueller Verlust",Calc!AG80)</f>
        <v/>
      </c>
      <c r="M79" s="117" t="str">
        <f ca="1">IF(L79="Total",SUM(M$6:M78)+0.0001,"")</f>
        <v/>
      </c>
      <c r="N79" s="117" t="str">
        <f ca="1">IF(L79="Total",SUM(N$6:N78)+0.0001,"")</f>
        <v/>
      </c>
      <c r="O79" s="75" t="str">
        <f ca="1">IF(L79="Total",SUM(O$6:O78)+0.0001,Calc!AH80)</f>
        <v/>
      </c>
      <c r="P79" s="167" t="str">
        <f t="shared" ca="1" si="4"/>
        <v/>
      </c>
      <c r="Q79" s="117" t="str">
        <f ca="1">IF(L79="Total",SUM(Q$6:Q78)+0.0001,"")</f>
        <v/>
      </c>
      <c r="V79">
        <v>2</v>
      </c>
      <c r="W79">
        <f t="shared" ca="1" si="6"/>
        <v>0</v>
      </c>
    </row>
    <row r="80" spans="1:23" ht="15">
      <c r="A80" s="123">
        <f>Calc!Y81</f>
        <v>0</v>
      </c>
      <c r="B80" s="122">
        <f>Calc!Z81</f>
        <v>0</v>
      </c>
      <c r="C80" s="122" t="str">
        <f ca="1">IF(Calc!AA81="Verlust","eventueller Gewinn",Calc!AA81)</f>
        <v/>
      </c>
      <c r="D80" s="117" t="str">
        <f ca="1">IF(C80="Total",SUM(D$6:D79)+0.0001,"")</f>
        <v/>
      </c>
      <c r="E80" s="117" t="str">
        <f ca="1">IF(C80="Total",SUM(E$6:E79)+0.0001,"")</f>
        <v/>
      </c>
      <c r="F80" s="75" t="str">
        <f ca="1">IF(C80="Total",SUM(F$5:F79)+0.0001,Calc!AB81)</f>
        <v/>
      </c>
      <c r="G80" s="167" t="str">
        <f t="shared" ca="1" si="5"/>
        <v/>
      </c>
      <c r="H80" s="173" t="str">
        <f ca="1">IF(C80="Total",SUM(H$6:H79)+0.0001,"")</f>
        <v/>
      </c>
      <c r="I80" s="178"/>
      <c r="J80" s="175">
        <f>Calc!AE81</f>
        <v>0</v>
      </c>
      <c r="K80" s="122">
        <f>Calc!AF81</f>
        <v>0</v>
      </c>
      <c r="L80" s="122" t="str">
        <f ca="1">IF(Calc!AG81="Gewinn","eventueller Verlust",Calc!AG81)</f>
        <v/>
      </c>
      <c r="M80" s="117" t="str">
        <f ca="1">IF(L80="Total",SUM(M$6:M79)+0.0001,"")</f>
        <v/>
      </c>
      <c r="N80" s="117" t="str">
        <f ca="1">IF(L80="Total",SUM(N$6:N79)+0.0001,"")</f>
        <v/>
      </c>
      <c r="O80" s="75" t="str">
        <f ca="1">IF(L80="Total",SUM(O$6:O79)+0.0001,Calc!AH81)</f>
        <v/>
      </c>
      <c r="P80" s="167" t="str">
        <f t="shared" ca="1" si="4"/>
        <v/>
      </c>
      <c r="Q80" s="117" t="str">
        <f ca="1">IF(L80="Total",SUM(Q$6:Q79)+0.0001,"")</f>
        <v/>
      </c>
      <c r="V80">
        <v>2</v>
      </c>
      <c r="W80">
        <f t="shared" ca="1" si="6"/>
        <v>0</v>
      </c>
    </row>
    <row r="81" spans="1:23" ht="15">
      <c r="A81" s="123">
        <f>Calc!Y82</f>
        <v>0</v>
      </c>
      <c r="B81" s="122">
        <f>Calc!Z82</f>
        <v>0</v>
      </c>
      <c r="C81" s="122" t="str">
        <f ca="1">IF(Calc!AA82="Verlust","eventueller Gewinn",Calc!AA82)</f>
        <v/>
      </c>
      <c r="D81" s="117" t="str">
        <f ca="1">IF(C81="Total",SUM(D$6:D80)+0.0001,"")</f>
        <v/>
      </c>
      <c r="E81" s="117" t="str">
        <f ca="1">IF(C81="Total",SUM(E$6:E80)+0.0001,"")</f>
        <v/>
      </c>
      <c r="F81" s="75" t="str">
        <f ca="1">IF(C81="Total",SUM(F$5:F80)+0.0001,Calc!AB82)</f>
        <v/>
      </c>
      <c r="G81" s="167" t="str">
        <f t="shared" ca="1" si="5"/>
        <v/>
      </c>
      <c r="H81" s="173" t="str">
        <f ca="1">IF(C81="Total",SUM(H$6:H80)+0.0001,"")</f>
        <v/>
      </c>
      <c r="I81" s="178"/>
      <c r="J81" s="175">
        <f>Calc!AE82</f>
        <v>0</v>
      </c>
      <c r="K81" s="122">
        <f>Calc!AF82</f>
        <v>0</v>
      </c>
      <c r="L81" s="122" t="str">
        <f ca="1">IF(Calc!AG82="Gewinn","eventueller Verlust",Calc!AG82)</f>
        <v/>
      </c>
      <c r="M81" s="117" t="str">
        <f ca="1">IF(L81="Total",SUM(M$6:M80)+0.0001,"")</f>
        <v/>
      </c>
      <c r="N81" s="117" t="str">
        <f ca="1">IF(L81="Total",SUM(N$6:N80)+0.0001,"")</f>
        <v/>
      </c>
      <c r="O81" s="75" t="str">
        <f ca="1">IF(L81="Total",SUM(O$6:O80)+0.0001,Calc!AH82)</f>
        <v/>
      </c>
      <c r="P81" s="167" t="str">
        <f t="shared" ca="1" si="4"/>
        <v/>
      </c>
      <c r="Q81" s="117" t="str">
        <f ca="1">IF(L81="Total",SUM(Q$6:Q80)+0.0001,"")</f>
        <v/>
      </c>
      <c r="V81">
        <v>2</v>
      </c>
      <c r="W81">
        <f t="shared" ca="1" si="6"/>
        <v>0</v>
      </c>
    </row>
    <row r="82" spans="1:23" ht="15">
      <c r="A82" s="123">
        <f>Calc!Y83</f>
        <v>0</v>
      </c>
      <c r="B82" s="122">
        <f>Calc!Z83</f>
        <v>0</v>
      </c>
      <c r="C82" s="122" t="str">
        <f ca="1">IF(Calc!AA83="Verlust","eventueller Gewinn",Calc!AA83)</f>
        <v/>
      </c>
      <c r="D82" s="117" t="str">
        <f ca="1">IF(C82="Total",SUM(D$6:D81)+0.0001,"")</f>
        <v/>
      </c>
      <c r="E82" s="117" t="str">
        <f ca="1">IF(C82="Total",SUM(E$6:E81)+0.0001,"")</f>
        <v/>
      </c>
      <c r="F82" s="75" t="str">
        <f ca="1">IF(C82="Total",SUM(F$5:F81)+0.0001,Calc!AB83)</f>
        <v/>
      </c>
      <c r="G82" s="167" t="str">
        <f t="shared" ca="1" si="5"/>
        <v/>
      </c>
      <c r="H82" s="173" t="str">
        <f ca="1">IF(C82="Total",SUM(H$6:H81)+0.0001,"")</f>
        <v/>
      </c>
      <c r="I82" s="178"/>
      <c r="J82" s="175">
        <f>Calc!AE83</f>
        <v>0</v>
      </c>
      <c r="K82" s="122">
        <f>Calc!AF83</f>
        <v>0</v>
      </c>
      <c r="L82" s="122" t="str">
        <f ca="1">IF(Calc!AG83="Gewinn","eventueller Verlust",Calc!AG83)</f>
        <v/>
      </c>
      <c r="M82" s="117" t="str">
        <f ca="1">IF(L82="Total",SUM(M$6:M81)+0.0001,"")</f>
        <v/>
      </c>
      <c r="N82" s="117" t="str">
        <f ca="1">IF(L82="Total",SUM(N$6:N81)+0.0001,"")</f>
        <v/>
      </c>
      <c r="O82" s="75" t="str">
        <f ca="1">IF(L82="Total",SUM(O$6:O81)+0.0001,Calc!AH83)</f>
        <v/>
      </c>
      <c r="P82" s="167" t="str">
        <f t="shared" ca="1" si="4"/>
        <v/>
      </c>
      <c r="Q82" s="117" t="str">
        <f ca="1">IF(L82="Total",SUM(Q$6:Q81)+0.0001,"")</f>
        <v/>
      </c>
      <c r="V82">
        <v>2</v>
      </c>
      <c r="W82">
        <f t="shared" ca="1" si="6"/>
        <v>0</v>
      </c>
    </row>
    <row r="83" spans="1:23" ht="15">
      <c r="A83" s="123">
        <f>Calc!Y84</f>
        <v>0</v>
      </c>
      <c r="B83" s="122">
        <f>Calc!Z84</f>
        <v>0</v>
      </c>
      <c r="C83" s="122" t="str">
        <f ca="1">IF(Calc!AA84="Verlust","eventueller Gewinn",Calc!AA84)</f>
        <v/>
      </c>
      <c r="D83" s="117" t="str">
        <f ca="1">IF(C83="Total",SUM(D$6:D82)+0.0001,"")</f>
        <v/>
      </c>
      <c r="E83" s="117" t="str">
        <f ca="1">IF(C83="Total",SUM(E$6:E82)+0.0001,"")</f>
        <v/>
      </c>
      <c r="F83" s="75" t="str">
        <f ca="1">IF(C83="Total",SUM(F$5:F82)+0.0001,Calc!AB84)</f>
        <v/>
      </c>
      <c r="G83" s="167" t="str">
        <f t="shared" ca="1" si="5"/>
        <v/>
      </c>
      <c r="H83" s="173" t="str">
        <f ca="1">IF(C83="Total",SUM(H$6:H82)+0.0001,"")</f>
        <v/>
      </c>
      <c r="I83" s="178"/>
      <c r="J83" s="175">
        <f>Calc!AE84</f>
        <v>0</v>
      </c>
      <c r="K83" s="122">
        <f>Calc!AF84</f>
        <v>0</v>
      </c>
      <c r="L83" s="122" t="str">
        <f ca="1">IF(Calc!AG84="Gewinn","eventueller Verlust",Calc!AG84)</f>
        <v/>
      </c>
      <c r="M83" s="117" t="str">
        <f ca="1">IF(L83="Total",SUM(M$6:M82)+0.0001,"")</f>
        <v/>
      </c>
      <c r="N83" s="117" t="str">
        <f ca="1">IF(L83="Total",SUM(N$6:N82)+0.0001,"")</f>
        <v/>
      </c>
      <c r="O83" s="75" t="str">
        <f ca="1">IF(L83="Total",SUM(O$6:O82)+0.0001,Calc!AH84)</f>
        <v/>
      </c>
      <c r="P83" s="167" t="str">
        <f t="shared" ca="1" si="4"/>
        <v/>
      </c>
      <c r="Q83" s="117" t="str">
        <f ca="1">IF(L83="Total",SUM(Q$6:Q82)+0.0001,"")</f>
        <v/>
      </c>
      <c r="V83">
        <v>2</v>
      </c>
      <c r="W83">
        <f t="shared" ca="1" si="6"/>
        <v>0</v>
      </c>
    </row>
    <row r="84" spans="1:23" ht="15">
      <c r="A84" s="123">
        <f>Calc!Y85</f>
        <v>0</v>
      </c>
      <c r="B84" s="122">
        <f>Calc!Z85</f>
        <v>0</v>
      </c>
      <c r="C84" s="122" t="str">
        <f ca="1">IF(Calc!AA85="Verlust","eventueller Gewinn",Calc!AA85)</f>
        <v/>
      </c>
      <c r="D84" s="117" t="str">
        <f ca="1">IF(C84="Total",SUM(D$6:D83)+0.0001,"")</f>
        <v/>
      </c>
      <c r="E84" s="117" t="str">
        <f ca="1">IF(C84="Total",SUM(E$6:E83)+0.0001,"")</f>
        <v/>
      </c>
      <c r="F84" s="75" t="str">
        <f ca="1">IF(C84="Total",SUM(F$5:F83)+0.0001,Calc!AB85)</f>
        <v/>
      </c>
      <c r="G84" s="167" t="str">
        <f t="shared" ca="1" si="5"/>
        <v/>
      </c>
      <c r="H84" s="173" t="str">
        <f ca="1">IF(C84="Total",SUM(H$6:H83)+0.0001,"")</f>
        <v/>
      </c>
      <c r="I84" s="178"/>
      <c r="J84" s="175">
        <f>Calc!AE85</f>
        <v>0</v>
      </c>
      <c r="K84" s="122">
        <f>Calc!AF85</f>
        <v>0</v>
      </c>
      <c r="L84" s="122" t="str">
        <f ca="1">IF(Calc!AG85="Gewinn","eventueller Verlust",Calc!AG85)</f>
        <v/>
      </c>
      <c r="M84" s="117" t="str">
        <f ca="1">IF(L84="Total",SUM(M$6:M83)+0.0001,"")</f>
        <v/>
      </c>
      <c r="N84" s="117" t="str">
        <f ca="1">IF(L84="Total",SUM(N$6:N83)+0.0001,"")</f>
        <v/>
      </c>
      <c r="O84" s="75" t="str">
        <f ca="1">IF(L84="Total",SUM(O$6:O83)+0.0001,Calc!AH85)</f>
        <v/>
      </c>
      <c r="P84" s="167" t="str">
        <f t="shared" ca="1" si="4"/>
        <v/>
      </c>
      <c r="Q84" s="117" t="str">
        <f ca="1">IF(L84="Total",SUM(Q$6:Q83)+0.0001,"")</f>
        <v/>
      </c>
      <c r="V84">
        <v>2</v>
      </c>
      <c r="W84">
        <f t="shared" ca="1" si="6"/>
        <v>0</v>
      </c>
    </row>
    <row r="85" spans="1:23" ht="15">
      <c r="A85" s="123">
        <f>Calc!Y86</f>
        <v>0</v>
      </c>
      <c r="B85" s="122">
        <f>Calc!Z86</f>
        <v>0</v>
      </c>
      <c r="C85" s="122" t="str">
        <f ca="1">IF(Calc!AA86="Verlust","eventueller Gewinn",Calc!AA86)</f>
        <v/>
      </c>
      <c r="D85" s="117" t="str">
        <f ca="1">IF(C85="Total",SUM(D$6:D84)+0.0001,"")</f>
        <v/>
      </c>
      <c r="E85" s="117" t="str">
        <f ca="1">IF(C85="Total",SUM(E$6:E84)+0.0001,"")</f>
        <v/>
      </c>
      <c r="F85" s="75" t="str">
        <f ca="1">IF(C85="Total",SUM(F$5:F84)+0.0001,Calc!AB86)</f>
        <v/>
      </c>
      <c r="G85" s="167" t="str">
        <f t="shared" ca="1" si="5"/>
        <v/>
      </c>
      <c r="H85" s="173" t="str">
        <f ca="1">IF(C85="Total",SUM(H$6:H84)+0.0001,"")</f>
        <v/>
      </c>
      <c r="I85" s="178"/>
      <c r="J85" s="175">
        <f>Calc!AE86</f>
        <v>0</v>
      </c>
      <c r="K85" s="122">
        <f>Calc!AF86</f>
        <v>0</v>
      </c>
      <c r="L85" s="122" t="str">
        <f ca="1">IF(Calc!AG86="Gewinn","eventueller Verlust",Calc!AG86)</f>
        <v/>
      </c>
      <c r="M85" s="117" t="str">
        <f ca="1">IF(L85="Total",SUM(M$6:M84)+0.0001,"")</f>
        <v/>
      </c>
      <c r="N85" s="117" t="str">
        <f ca="1">IF(L85="Total",SUM(N$6:N84)+0.0001,"")</f>
        <v/>
      </c>
      <c r="O85" s="75" t="str">
        <f ca="1">IF(L85="Total",SUM(O$6:O84)+0.0001,Calc!AH86)</f>
        <v/>
      </c>
      <c r="P85" s="167" t="str">
        <f t="shared" ca="1" si="4"/>
        <v/>
      </c>
      <c r="Q85" s="117" t="str">
        <f ca="1">IF(L85="Total",SUM(Q$6:Q84)+0.0001,"")</f>
        <v/>
      </c>
      <c r="V85">
        <v>2</v>
      </c>
      <c r="W85">
        <f t="shared" ca="1" si="6"/>
        <v>0</v>
      </c>
    </row>
    <row r="86" spans="1:23" ht="15">
      <c r="A86" s="123">
        <f>Calc!Y87</f>
        <v>0</v>
      </c>
      <c r="B86" s="122">
        <f>Calc!Z87</f>
        <v>0</v>
      </c>
      <c r="C86" s="122" t="str">
        <f ca="1">IF(Calc!AA87="Verlust","eventueller Gewinn",Calc!AA87)</f>
        <v/>
      </c>
      <c r="D86" s="117" t="str">
        <f ca="1">IF(C86="Total",SUM(D$6:D85)+0.0001,"")</f>
        <v/>
      </c>
      <c r="E86" s="117" t="str">
        <f ca="1">IF(C86="Total",SUM(E$6:E85)+0.0001,"")</f>
        <v/>
      </c>
      <c r="F86" s="75" t="str">
        <f ca="1">IF(C86="Total",SUM(F$5:F85)+0.0001,Calc!AB87)</f>
        <v/>
      </c>
      <c r="G86" s="167" t="str">
        <f t="shared" ca="1" si="5"/>
        <v/>
      </c>
      <c r="H86" s="173" t="str">
        <f ca="1">IF(C86="Total",SUM(H$6:H85)+0.0001,"")</f>
        <v/>
      </c>
      <c r="I86" s="178"/>
      <c r="J86" s="175">
        <f>Calc!AE87</f>
        <v>0</v>
      </c>
      <c r="K86" s="122">
        <f>Calc!AF87</f>
        <v>0</v>
      </c>
      <c r="L86" s="122" t="str">
        <f ca="1">IF(Calc!AG87="Gewinn","eventueller Verlust",Calc!AG87)</f>
        <v/>
      </c>
      <c r="M86" s="117" t="str">
        <f ca="1">IF(L86="Total",SUM(M$6:M85)+0.0001,"")</f>
        <v/>
      </c>
      <c r="N86" s="117" t="str">
        <f ca="1">IF(L86="Total",SUM(N$6:N85)+0.0001,"")</f>
        <v/>
      </c>
      <c r="O86" s="75" t="str">
        <f ca="1">IF(L86="Total",SUM(O$6:O85)+0.0001,Calc!AH87)</f>
        <v/>
      </c>
      <c r="P86" s="167" t="str">
        <f t="shared" ca="1" si="4"/>
        <v/>
      </c>
      <c r="Q86" s="117" t="str">
        <f ca="1">IF(L86="Total",SUM(Q$6:Q85)+0.0001,"")</f>
        <v/>
      </c>
      <c r="V86">
        <v>2</v>
      </c>
      <c r="W86">
        <f t="shared" ca="1" si="6"/>
        <v>0</v>
      </c>
    </row>
    <row r="87" spans="1:23" ht="15">
      <c r="A87" s="123">
        <f>Calc!Y88</f>
        <v>0</v>
      </c>
      <c r="B87" s="122">
        <f>Calc!Z88</f>
        <v>0</v>
      </c>
      <c r="C87" s="122" t="str">
        <f ca="1">IF(Calc!AA88="Verlust","eventueller Gewinn",Calc!AA88)</f>
        <v/>
      </c>
      <c r="D87" s="117" t="str">
        <f ca="1">IF(C87="Total",SUM(D$6:D86)+0.0001,"")</f>
        <v/>
      </c>
      <c r="E87" s="117" t="str">
        <f ca="1">IF(C87="Total",SUM(E$6:E86)+0.0001,"")</f>
        <v/>
      </c>
      <c r="F87" s="75" t="str">
        <f ca="1">IF(C87="Total",SUM(F$5:F86)+0.0001,Calc!AB88)</f>
        <v/>
      </c>
      <c r="G87" s="167" t="str">
        <f t="shared" ca="1" si="5"/>
        <v/>
      </c>
      <c r="H87" s="173" t="str">
        <f ca="1">IF(C87="Total",SUM(H$6:H86)+0.0001,"")</f>
        <v/>
      </c>
      <c r="I87" s="178"/>
      <c r="J87" s="175">
        <f>Calc!AE88</f>
        <v>0</v>
      </c>
      <c r="K87" s="122">
        <f>Calc!AF88</f>
        <v>0</v>
      </c>
      <c r="L87" s="122" t="str">
        <f ca="1">IF(Calc!AG88="Gewinn","eventueller Verlust",Calc!AG88)</f>
        <v/>
      </c>
      <c r="M87" s="117" t="str">
        <f ca="1">IF(L87="Total",SUM(M$6:M86)+0.0001,"")</f>
        <v/>
      </c>
      <c r="N87" s="117" t="str">
        <f ca="1">IF(L87="Total",SUM(N$6:N86)+0.0001,"")</f>
        <v/>
      </c>
      <c r="O87" s="75" t="str">
        <f ca="1">IF(L87="Total",SUM(O$6:O86)+0.0001,Calc!AH88)</f>
        <v/>
      </c>
      <c r="P87" s="167" t="str">
        <f t="shared" ca="1" si="4"/>
        <v/>
      </c>
      <c r="Q87" s="117" t="str">
        <f ca="1">IF(L87="Total",SUM(Q$6:Q86)+0.0001,"")</f>
        <v/>
      </c>
      <c r="V87">
        <v>2</v>
      </c>
      <c r="W87">
        <f t="shared" ca="1" si="6"/>
        <v>0</v>
      </c>
    </row>
    <row r="88" spans="1:23" ht="15">
      <c r="A88" s="123">
        <f>Calc!Y89</f>
        <v>0</v>
      </c>
      <c r="B88" s="122">
        <f>Calc!Z89</f>
        <v>0</v>
      </c>
      <c r="C88" s="122" t="str">
        <f ca="1">IF(Calc!AA89="Verlust","eventueller Gewinn",Calc!AA89)</f>
        <v/>
      </c>
      <c r="D88" s="117" t="str">
        <f ca="1">IF(C88="Total",SUM(D$6:D87)+0.0001,"")</f>
        <v/>
      </c>
      <c r="E88" s="117" t="str">
        <f ca="1">IF(C88="Total",SUM(E$6:E87)+0.0001,"")</f>
        <v/>
      </c>
      <c r="F88" s="75" t="str">
        <f ca="1">IF(C88="Total",SUM(F$5:F87)+0.0001,Calc!AB89)</f>
        <v/>
      </c>
      <c r="G88" s="167" t="str">
        <f t="shared" ca="1" si="5"/>
        <v/>
      </c>
      <c r="H88" s="173" t="str">
        <f ca="1">IF(C88="Total",SUM(H$6:H87)+0.0001,"")</f>
        <v/>
      </c>
      <c r="I88" s="178"/>
      <c r="J88" s="175">
        <f>Calc!AE89</f>
        <v>0</v>
      </c>
      <c r="K88" s="122">
        <f>Calc!AF89</f>
        <v>0</v>
      </c>
      <c r="L88" s="122" t="str">
        <f ca="1">IF(Calc!AG89="Gewinn","eventueller Verlust",Calc!AG89)</f>
        <v/>
      </c>
      <c r="M88" s="117" t="str">
        <f ca="1">IF(L88="Total",SUM(M$6:M87)+0.0001,"")</f>
        <v/>
      </c>
      <c r="N88" s="117" t="str">
        <f ca="1">IF(L88="Total",SUM(N$6:N87)+0.0001,"")</f>
        <v/>
      </c>
      <c r="O88" s="75" t="str">
        <f ca="1">IF(L88="Total",SUM(O$6:O87)+0.0001,Calc!AH89)</f>
        <v/>
      </c>
      <c r="P88" s="167" t="str">
        <f t="shared" ca="1" si="4"/>
        <v/>
      </c>
      <c r="Q88" s="117" t="str">
        <f ca="1">IF(L88="Total",SUM(Q$6:Q87)+0.0001,"")</f>
        <v/>
      </c>
      <c r="V88">
        <v>2</v>
      </c>
      <c r="W88">
        <f t="shared" ca="1" si="6"/>
        <v>0</v>
      </c>
    </row>
    <row r="89" spans="1:23" ht="15">
      <c r="A89" s="123">
        <f>Calc!Y90</f>
        <v>0</v>
      </c>
      <c r="B89" s="122">
        <f>Calc!Z90</f>
        <v>0</v>
      </c>
      <c r="C89" s="122" t="str">
        <f ca="1">IF(Calc!AA90="Verlust","eventueller Gewinn",Calc!AA90)</f>
        <v/>
      </c>
      <c r="D89" s="117" t="str">
        <f ca="1">IF(C89="Total",SUM(D$6:D88)+0.0001,"")</f>
        <v/>
      </c>
      <c r="E89" s="117" t="str">
        <f ca="1">IF(C89="Total",SUM(E$6:E88)+0.0001,"")</f>
        <v/>
      </c>
      <c r="F89" s="75" t="str">
        <f ca="1">IF(C89="Total",SUM(F$5:F88)+0.0001,Calc!AB90)</f>
        <v/>
      </c>
      <c r="G89" s="167" t="str">
        <f t="shared" ca="1" si="5"/>
        <v/>
      </c>
      <c r="H89" s="173" t="str">
        <f ca="1">IF(C89="Total",SUM(H$6:H88)+0.0001,"")</f>
        <v/>
      </c>
      <c r="I89" s="178"/>
      <c r="J89" s="175">
        <f>Calc!AE90</f>
        <v>0</v>
      </c>
      <c r="K89" s="122">
        <f>Calc!AF90</f>
        <v>0</v>
      </c>
      <c r="L89" s="122" t="str">
        <f ca="1">IF(Calc!AG90="Gewinn","eventueller Verlust",Calc!AG90)</f>
        <v/>
      </c>
      <c r="M89" s="117" t="str">
        <f ca="1">IF(L89="Total",SUM(M$6:M88)+0.0001,"")</f>
        <v/>
      </c>
      <c r="N89" s="117" t="str">
        <f ca="1">IF(L89="Total",SUM(N$6:N88)+0.0001,"")</f>
        <v/>
      </c>
      <c r="O89" s="75" t="str">
        <f ca="1">IF(L89="Total",SUM(O$6:O88)+0.0001,Calc!AH90)</f>
        <v/>
      </c>
      <c r="P89" s="167" t="str">
        <f t="shared" ca="1" si="4"/>
        <v/>
      </c>
      <c r="Q89" s="117" t="str">
        <f ca="1">IF(L89="Total",SUM(Q$6:Q88)+0.0001,"")</f>
        <v/>
      </c>
      <c r="V89">
        <v>2</v>
      </c>
      <c r="W89">
        <f t="shared" ca="1" si="6"/>
        <v>0</v>
      </c>
    </row>
    <row r="90" spans="1:23" ht="15">
      <c r="A90" s="123">
        <f>Calc!Y91</f>
        <v>0</v>
      </c>
      <c r="B90" s="122">
        <f>Calc!Z91</f>
        <v>0</v>
      </c>
      <c r="C90" s="122" t="str">
        <f ca="1">IF(Calc!AA91="Verlust","eventueller Gewinn",Calc!AA91)</f>
        <v/>
      </c>
      <c r="D90" s="117" t="str">
        <f ca="1">IF(C90="Total",SUM(D$6:D89)+0.0001,"")</f>
        <v/>
      </c>
      <c r="E90" s="117" t="str">
        <f ca="1">IF(C90="Total",SUM(E$6:E89)+0.0001,"")</f>
        <v/>
      </c>
      <c r="F90" s="75" t="str">
        <f ca="1">IF(C90="Total",SUM(F$5:F89)+0.0001,Calc!AB91)</f>
        <v/>
      </c>
      <c r="G90" s="167" t="str">
        <f t="shared" ca="1" si="5"/>
        <v/>
      </c>
      <c r="H90" s="173" t="str">
        <f ca="1">IF(C90="Total",SUM(H$6:H89)+0.0001,"")</f>
        <v/>
      </c>
      <c r="I90" s="178"/>
      <c r="J90" s="175">
        <f>Calc!AE91</f>
        <v>0</v>
      </c>
      <c r="K90" s="122">
        <f>Calc!AF91</f>
        <v>0</v>
      </c>
      <c r="L90" s="122" t="str">
        <f ca="1">IF(Calc!AG91="Gewinn","eventueller Verlust",Calc!AG91)</f>
        <v/>
      </c>
      <c r="M90" s="117" t="str">
        <f ca="1">IF(L90="Total",SUM(M$6:M89)+0.0001,"")</f>
        <v/>
      </c>
      <c r="N90" s="117" t="str">
        <f ca="1">IF(L90="Total",SUM(N$6:N89)+0.0001,"")</f>
        <v/>
      </c>
      <c r="O90" s="75" t="str">
        <f ca="1">IF(L90="Total",SUM(O$6:O89)+0.0001,Calc!AH91)</f>
        <v/>
      </c>
      <c r="P90" s="167" t="str">
        <f t="shared" ca="1" si="4"/>
        <v/>
      </c>
      <c r="Q90" s="117" t="str">
        <f ca="1">IF(L90="Total",SUM(Q$6:Q89)+0.0001,"")</f>
        <v/>
      </c>
      <c r="V90">
        <v>2</v>
      </c>
      <c r="W90">
        <f t="shared" ca="1" si="6"/>
        <v>0</v>
      </c>
    </row>
    <row r="91" spans="1:23" ht="15">
      <c r="A91" s="123">
        <f>Calc!Y92</f>
        <v>0</v>
      </c>
      <c r="B91" s="122">
        <f>Calc!Z92</f>
        <v>0</v>
      </c>
      <c r="C91" s="122" t="str">
        <f ca="1">IF(Calc!AA92="Verlust","eventueller Gewinn",Calc!AA92)</f>
        <v/>
      </c>
      <c r="D91" s="117" t="str">
        <f ca="1">IF(C91="Total",SUM(D$6:D90)+0.0001,"")</f>
        <v/>
      </c>
      <c r="E91" s="117" t="str">
        <f ca="1">IF(C91="Total",SUM(E$6:E90)+0.0001,"")</f>
        <v/>
      </c>
      <c r="F91" s="75" t="str">
        <f ca="1">IF(C91="Total",SUM(F$5:F90)+0.0001,Calc!AB92)</f>
        <v/>
      </c>
      <c r="G91" s="167" t="str">
        <f t="shared" ca="1" si="5"/>
        <v/>
      </c>
      <c r="H91" s="173" t="str">
        <f ca="1">IF(C91="Total",SUM(H$6:H90)+0.0001,"")</f>
        <v/>
      </c>
      <c r="I91" s="178"/>
      <c r="J91" s="175">
        <f>Calc!AE92</f>
        <v>0</v>
      </c>
      <c r="K91" s="122">
        <f>Calc!AF92</f>
        <v>0</v>
      </c>
      <c r="L91" s="122" t="str">
        <f ca="1">IF(Calc!AG92="Gewinn","eventueller Verlust",Calc!AG92)</f>
        <v/>
      </c>
      <c r="M91" s="117" t="str">
        <f ca="1">IF(L91="Total",SUM(M$6:M90)+0.0001,"")</f>
        <v/>
      </c>
      <c r="N91" s="117" t="str">
        <f ca="1">IF(L91="Total",SUM(N$6:N90)+0.0001,"")</f>
        <v/>
      </c>
      <c r="O91" s="75" t="str">
        <f ca="1">IF(L91="Total",SUM(O$6:O90)+0.0001,Calc!AH92)</f>
        <v/>
      </c>
      <c r="P91" s="167" t="str">
        <f t="shared" ca="1" si="4"/>
        <v/>
      </c>
      <c r="Q91" s="117" t="str">
        <f ca="1">IF(L91="Total",SUM(Q$6:Q90)+0.0001,"")</f>
        <v/>
      </c>
      <c r="V91">
        <v>2</v>
      </c>
      <c r="W91">
        <f t="shared" ca="1" si="6"/>
        <v>0</v>
      </c>
    </row>
    <row r="92" spans="1:23" ht="15">
      <c r="A92" s="123">
        <f>Calc!Y93</f>
        <v>0</v>
      </c>
      <c r="B92" s="122">
        <f>Calc!Z93</f>
        <v>0</v>
      </c>
      <c r="C92" s="122" t="str">
        <f ca="1">IF(Calc!AA93="Verlust","eventueller Gewinn",Calc!AA93)</f>
        <v/>
      </c>
      <c r="D92" s="117" t="str">
        <f ca="1">IF(C92="Total",SUM(D$6:D91)+0.0001,"")</f>
        <v/>
      </c>
      <c r="E92" s="117" t="str">
        <f ca="1">IF(C92="Total",SUM(E$6:E91)+0.0001,"")</f>
        <v/>
      </c>
      <c r="F92" s="75" t="str">
        <f ca="1">IF(C92="Total",SUM(F$5:F91)+0.0001,Calc!AB93)</f>
        <v/>
      </c>
      <c r="G92" s="167" t="str">
        <f t="shared" ca="1" si="5"/>
        <v/>
      </c>
      <c r="H92" s="173" t="str">
        <f ca="1">IF(C92="Total",SUM(H$6:H91)+0.0001,"")</f>
        <v/>
      </c>
      <c r="I92" s="178"/>
      <c r="J92" s="175">
        <f>Calc!AE93</f>
        <v>0</v>
      </c>
      <c r="K92" s="122">
        <f>Calc!AF93</f>
        <v>0</v>
      </c>
      <c r="L92" s="122" t="str">
        <f ca="1">IF(Calc!AG93="Gewinn","eventueller Verlust",Calc!AG93)</f>
        <v/>
      </c>
      <c r="M92" s="117" t="str">
        <f ca="1">IF(L92="Total",SUM(M$6:M91)+0.0001,"")</f>
        <v/>
      </c>
      <c r="N92" s="117" t="str">
        <f ca="1">IF(L92="Total",SUM(N$6:N91)+0.0001,"")</f>
        <v/>
      </c>
      <c r="O92" s="75" t="str">
        <f ca="1">IF(L92="Total",SUM(O$6:O91)+0.0001,Calc!AH93)</f>
        <v/>
      </c>
      <c r="P92" s="167" t="str">
        <f t="shared" ca="1" si="4"/>
        <v/>
      </c>
      <c r="Q92" s="117" t="str">
        <f ca="1">IF(L92="Total",SUM(Q$6:Q91)+0.0001,"")</f>
        <v/>
      </c>
      <c r="V92">
        <v>2</v>
      </c>
      <c r="W92">
        <f t="shared" ca="1" si="6"/>
        <v>0</v>
      </c>
    </row>
    <row r="93" spans="1:23" ht="15">
      <c r="A93" s="123">
        <f>Calc!Y94</f>
        <v>0</v>
      </c>
      <c r="B93" s="122">
        <f>Calc!Z94</f>
        <v>0</v>
      </c>
      <c r="C93" s="122" t="str">
        <f ca="1">IF(Calc!AA94="Verlust","eventueller Gewinn",Calc!AA94)</f>
        <v/>
      </c>
      <c r="D93" s="117" t="str">
        <f ca="1">IF(C93="Total",SUM(D$6:D92)+0.0001,"")</f>
        <v/>
      </c>
      <c r="E93" s="117" t="str">
        <f ca="1">IF(C93="Total",SUM(E$6:E92)+0.0001,"")</f>
        <v/>
      </c>
      <c r="F93" s="75" t="str">
        <f ca="1">IF(C93="Total",SUM(F$5:F92)+0.0001,Calc!AB94)</f>
        <v/>
      </c>
      <c r="G93" s="167" t="str">
        <f t="shared" ca="1" si="5"/>
        <v/>
      </c>
      <c r="H93" s="173" t="str">
        <f ca="1">IF(C93="Total",SUM(H$6:H92)+0.0001,"")</f>
        <v/>
      </c>
      <c r="I93" s="178"/>
      <c r="J93" s="175">
        <f>Calc!AE94</f>
        <v>0</v>
      </c>
      <c r="K93" s="122">
        <f>Calc!AF94</f>
        <v>0</v>
      </c>
      <c r="L93" s="122" t="str">
        <f ca="1">IF(Calc!AG94="Gewinn","eventueller Verlust",Calc!AG94)</f>
        <v/>
      </c>
      <c r="M93" s="117" t="str">
        <f ca="1">IF(L93="Total",SUM(M$6:M92)+0.0001,"")</f>
        <v/>
      </c>
      <c r="N93" s="117" t="str">
        <f ca="1">IF(L93="Total",SUM(N$6:N92)+0.0001,"")</f>
        <v/>
      </c>
      <c r="O93" s="75" t="str">
        <f ca="1">IF(L93="Total",SUM(O$6:O92)+0.0001,Calc!AH94)</f>
        <v/>
      </c>
      <c r="P93" s="167" t="str">
        <f t="shared" ca="1" si="4"/>
        <v/>
      </c>
      <c r="Q93" s="117" t="str">
        <f ca="1">IF(L93="Total",SUM(Q$6:Q92)+0.0001,"")</f>
        <v/>
      </c>
      <c r="V93">
        <v>2</v>
      </c>
      <c r="W93">
        <f t="shared" ca="1" si="6"/>
        <v>0</v>
      </c>
    </row>
    <row r="94" spans="1:23" ht="15">
      <c r="A94" s="123">
        <f>Calc!Y95</f>
        <v>0</v>
      </c>
      <c r="B94" s="122">
        <f>Calc!Z95</f>
        <v>0</v>
      </c>
      <c r="C94" s="122" t="str">
        <f ca="1">IF(Calc!AA95="Verlust","eventueller Gewinn",Calc!AA95)</f>
        <v/>
      </c>
      <c r="D94" s="117" t="str">
        <f ca="1">IF(C94="Total",SUM(D$6:D93)+0.0001,"")</f>
        <v/>
      </c>
      <c r="E94" s="117" t="str">
        <f ca="1">IF(C94="Total",SUM(E$6:E93)+0.0001,"")</f>
        <v/>
      </c>
      <c r="F94" s="75" t="str">
        <f ca="1">IF(C94="Total",SUM(F$5:F93)+0.0001,Calc!AB95)</f>
        <v/>
      </c>
      <c r="G94" s="167" t="str">
        <f t="shared" ca="1" si="5"/>
        <v/>
      </c>
      <c r="H94" s="173" t="str">
        <f ca="1">IF(C94="Total",SUM(H$6:H93)+0.0001,"")</f>
        <v/>
      </c>
      <c r="I94" s="178"/>
      <c r="J94" s="175">
        <f>Calc!AE95</f>
        <v>0</v>
      </c>
      <c r="K94" s="122">
        <f>Calc!AF95</f>
        <v>0</v>
      </c>
      <c r="L94" s="122" t="str">
        <f ca="1">IF(Calc!AG95="Gewinn","eventueller Verlust",Calc!AG95)</f>
        <v/>
      </c>
      <c r="M94" s="117" t="str">
        <f ca="1">IF(L94="Total",SUM(M$6:M93)+0.0001,"")</f>
        <v/>
      </c>
      <c r="N94" s="117" t="str">
        <f ca="1">IF(L94="Total",SUM(N$6:N93)+0.0001,"")</f>
        <v/>
      </c>
      <c r="O94" s="75" t="str">
        <f ca="1">IF(L94="Total",SUM(O$6:O93)+0.0001,Calc!AH95)</f>
        <v/>
      </c>
      <c r="P94" s="167" t="str">
        <f t="shared" ca="1" si="4"/>
        <v/>
      </c>
      <c r="Q94" s="117" t="str">
        <f ca="1">IF(L94="Total",SUM(Q$6:Q93)+0.0001,"")</f>
        <v/>
      </c>
      <c r="V94">
        <v>2</v>
      </c>
      <c r="W94">
        <f t="shared" ca="1" si="6"/>
        <v>0</v>
      </c>
    </row>
    <row r="95" spans="1:23" ht="15">
      <c r="A95" s="123">
        <f>Calc!Y96</f>
        <v>0</v>
      </c>
      <c r="B95" s="122">
        <f>Calc!Z96</f>
        <v>0</v>
      </c>
      <c r="C95" s="122" t="str">
        <f ca="1">IF(Calc!AA96="Verlust","eventueller Gewinn",Calc!AA96)</f>
        <v/>
      </c>
      <c r="D95" s="117" t="str">
        <f ca="1">IF(C95="Total",SUM(D$6:D94)+0.0001,"")</f>
        <v/>
      </c>
      <c r="E95" s="117" t="str">
        <f ca="1">IF(C95="Total",SUM(E$6:E94)+0.0001,"")</f>
        <v/>
      </c>
      <c r="F95" s="75" t="str">
        <f ca="1">IF(C95="Total",SUM(F$5:F94)+0.0001,Calc!AB96)</f>
        <v/>
      </c>
      <c r="G95" s="167" t="str">
        <f t="shared" ca="1" si="5"/>
        <v/>
      </c>
      <c r="H95" s="173" t="str">
        <f ca="1">IF(C95="Total",SUM(H$6:H94)+0.0001,"")</f>
        <v/>
      </c>
      <c r="I95" s="178"/>
      <c r="J95" s="175">
        <f>Calc!AE96</f>
        <v>0</v>
      </c>
      <c r="K95" s="122">
        <f>Calc!AF96</f>
        <v>0</v>
      </c>
      <c r="L95" s="122" t="str">
        <f ca="1">IF(Calc!AG96="Gewinn","eventueller Verlust",Calc!AG96)</f>
        <v/>
      </c>
      <c r="M95" s="117" t="str">
        <f ca="1">IF(L95="Total",SUM(M$6:M94)+0.0001,"")</f>
        <v/>
      </c>
      <c r="N95" s="117" t="str">
        <f ca="1">IF(L95="Total",SUM(N$6:N94)+0.0001,"")</f>
        <v/>
      </c>
      <c r="O95" s="75" t="str">
        <f ca="1">IF(L95="Total",SUM(O$6:O94)+0.0001,Calc!AH96)</f>
        <v/>
      </c>
      <c r="P95" s="167" t="str">
        <f t="shared" ca="1" si="4"/>
        <v/>
      </c>
      <c r="Q95" s="117" t="str">
        <f ca="1">IF(L95="Total",SUM(Q$6:Q94)+0.0001,"")</f>
        <v/>
      </c>
      <c r="V95">
        <v>2</v>
      </c>
      <c r="W95">
        <f t="shared" ca="1" si="6"/>
        <v>0</v>
      </c>
    </row>
    <row r="96" spans="1:23" ht="15">
      <c r="A96" s="123">
        <f>Calc!Y97</f>
        <v>0</v>
      </c>
      <c r="B96" s="122">
        <f>Calc!Z97</f>
        <v>0</v>
      </c>
      <c r="C96" s="122" t="str">
        <f ca="1">IF(Calc!AA97="Verlust","eventueller Gewinn",Calc!AA97)</f>
        <v/>
      </c>
      <c r="D96" s="117" t="str">
        <f ca="1">IF(C96="Total",SUM(D$6:D95)+0.0001,"")</f>
        <v/>
      </c>
      <c r="E96" s="117" t="str">
        <f ca="1">IF(C96="Total",SUM(E$6:E95)+0.0001,"")</f>
        <v/>
      </c>
      <c r="F96" s="75" t="str">
        <f ca="1">IF(C96="Total",SUM(F$5:F95)+0.0001,Calc!AB97)</f>
        <v/>
      </c>
      <c r="G96" s="167" t="str">
        <f t="shared" ca="1" si="5"/>
        <v/>
      </c>
      <c r="H96" s="173" t="str">
        <f ca="1">IF(C96="Total",SUM(H$6:H95)+0.0001,"")</f>
        <v/>
      </c>
      <c r="I96" s="178"/>
      <c r="J96" s="175">
        <f>Calc!AE97</f>
        <v>0</v>
      </c>
      <c r="K96" s="122">
        <f>Calc!AF97</f>
        <v>0</v>
      </c>
      <c r="L96" s="122" t="str">
        <f ca="1">IF(Calc!AG97="Gewinn","eventueller Verlust",Calc!AG97)</f>
        <v/>
      </c>
      <c r="M96" s="117" t="str">
        <f ca="1">IF(L96="Total",SUM(M$6:M95)+0.0001,"")</f>
        <v/>
      </c>
      <c r="N96" s="117" t="str">
        <f ca="1">IF(L96="Total",SUM(N$6:N95)+0.0001,"")</f>
        <v/>
      </c>
      <c r="O96" s="75" t="str">
        <f ca="1">IF(L96="Total",SUM(O$6:O95)+0.0001,Calc!AH97)</f>
        <v/>
      </c>
      <c r="P96" s="167" t="str">
        <f t="shared" ca="1" si="4"/>
        <v/>
      </c>
      <c r="Q96" s="117" t="str">
        <f ca="1">IF(L96="Total",SUM(Q$6:Q95)+0.0001,"")</f>
        <v/>
      </c>
      <c r="V96">
        <v>2</v>
      </c>
      <c r="W96">
        <f t="shared" ca="1" si="6"/>
        <v>0</v>
      </c>
    </row>
    <row r="97" spans="1:23" ht="15">
      <c r="A97" s="123">
        <f>Calc!Y98</f>
        <v>0</v>
      </c>
      <c r="B97" s="122">
        <f>Calc!Z98</f>
        <v>0</v>
      </c>
      <c r="C97" s="122" t="str">
        <f ca="1">IF(Calc!AA98="Verlust","eventueller Gewinn",Calc!AA98)</f>
        <v/>
      </c>
      <c r="D97" s="117" t="str">
        <f ca="1">IF(C97="Total",SUM(D$6:D96)+0.0001,"")</f>
        <v/>
      </c>
      <c r="E97" s="117" t="str">
        <f ca="1">IF(C97="Total",SUM(E$6:E96)+0.0001,"")</f>
        <v/>
      </c>
      <c r="F97" s="75" t="str">
        <f ca="1">IF(C97="Total",SUM(F$5:F96)+0.0001,Calc!AB98)</f>
        <v/>
      </c>
      <c r="G97" s="167" t="str">
        <f t="shared" ca="1" si="5"/>
        <v/>
      </c>
      <c r="H97" s="173" t="str">
        <f ca="1">IF(C97="Total",SUM(H$6:H96)+0.0001,"")</f>
        <v/>
      </c>
      <c r="I97" s="178"/>
      <c r="J97" s="175">
        <f>Calc!AE98</f>
        <v>0</v>
      </c>
      <c r="K97" s="122">
        <f>Calc!AF98</f>
        <v>0</v>
      </c>
      <c r="L97" s="122" t="str">
        <f ca="1">IF(Calc!AG98="Gewinn","eventueller Verlust",Calc!AG98)</f>
        <v/>
      </c>
      <c r="M97" s="117" t="str">
        <f ca="1">IF(L97="Total",SUM(M$6:M96)+0.0001,"")</f>
        <v/>
      </c>
      <c r="N97" s="117" t="str">
        <f ca="1">IF(L97="Total",SUM(N$6:N96)+0.0001,"")</f>
        <v/>
      </c>
      <c r="O97" s="75" t="str">
        <f ca="1">IF(L97="Total",SUM(O$6:O96)+0.0001,Calc!AH98)</f>
        <v/>
      </c>
      <c r="P97" s="167" t="str">
        <f t="shared" ca="1" si="4"/>
        <v/>
      </c>
      <c r="Q97" s="117" t="str">
        <f ca="1">IF(L97="Total",SUM(Q$6:Q96)+0.0001,"")</f>
        <v/>
      </c>
      <c r="V97">
        <v>2</v>
      </c>
      <c r="W97">
        <f t="shared" ca="1" si="6"/>
        <v>0</v>
      </c>
    </row>
    <row r="98" spans="1:23" ht="15">
      <c r="A98" s="123">
        <f>Calc!Y99</f>
        <v>0</v>
      </c>
      <c r="B98" s="122">
        <f>Calc!Z99</f>
        <v>0</v>
      </c>
      <c r="C98" s="122" t="str">
        <f ca="1">IF(Calc!AA99="Verlust","eventueller Gewinn",Calc!AA99)</f>
        <v/>
      </c>
      <c r="D98" s="117" t="str">
        <f ca="1">IF(C98="Total",SUM(D$6:D97)+0.0001,"")</f>
        <v/>
      </c>
      <c r="E98" s="117" t="str">
        <f ca="1">IF(C98="Total",SUM(E$6:E97)+0.0001,"")</f>
        <v/>
      </c>
      <c r="F98" s="75" t="str">
        <f ca="1">IF(C98="Total",SUM(F$5:F97)+0.0001,Calc!AB99)</f>
        <v/>
      </c>
      <c r="G98" s="167" t="str">
        <f t="shared" ca="1" si="5"/>
        <v/>
      </c>
      <c r="H98" s="173" t="str">
        <f ca="1">IF(C98="Total",SUM(H$6:H97)+0.0001,"")</f>
        <v/>
      </c>
      <c r="I98" s="178"/>
      <c r="J98" s="175">
        <f>Calc!AE99</f>
        <v>0</v>
      </c>
      <c r="K98" s="122">
        <f>Calc!AF99</f>
        <v>0</v>
      </c>
      <c r="L98" s="122" t="str">
        <f ca="1">IF(Calc!AG99="Gewinn","eventueller Verlust",Calc!AG99)</f>
        <v/>
      </c>
      <c r="M98" s="117" t="str">
        <f ca="1">IF(L98="Total",SUM(M$6:M97)+0.0001,"")</f>
        <v/>
      </c>
      <c r="N98" s="117" t="str">
        <f ca="1">IF(L98="Total",SUM(N$6:N97)+0.0001,"")</f>
        <v/>
      </c>
      <c r="O98" s="75" t="str">
        <f ca="1">IF(L98="Total",SUM(O$6:O97)+0.0001,Calc!AH99)</f>
        <v/>
      </c>
      <c r="P98" s="167" t="str">
        <f t="shared" ca="1" si="4"/>
        <v/>
      </c>
      <c r="Q98" s="117" t="str">
        <f ca="1">IF(L98="Total",SUM(Q$6:Q97)+0.0001,"")</f>
        <v/>
      </c>
      <c r="V98">
        <v>2</v>
      </c>
      <c r="W98">
        <f t="shared" ca="1" si="6"/>
        <v>0</v>
      </c>
    </row>
    <row r="99" spans="1:23" ht="15">
      <c r="A99" s="123">
        <f>Calc!Y100</f>
        <v>0</v>
      </c>
      <c r="B99" s="122">
        <f>Calc!Z100</f>
        <v>0</v>
      </c>
      <c r="C99" s="122" t="str">
        <f ca="1">IF(Calc!AA100="Verlust","eventueller Gewinn",Calc!AA100)</f>
        <v/>
      </c>
      <c r="D99" s="117" t="str">
        <f ca="1">IF(C99="Total",SUM(D$6:D98)+0.0001,"")</f>
        <v/>
      </c>
      <c r="E99" s="117" t="str">
        <f ca="1">IF(C99="Total",SUM(E$6:E98)+0.0001,"")</f>
        <v/>
      </c>
      <c r="F99" s="75" t="str">
        <f ca="1">IF(C99="Total",SUM(F$5:F98)+0.0001,Calc!AB100)</f>
        <v/>
      </c>
      <c r="G99" s="167" t="str">
        <f t="shared" ca="1" si="5"/>
        <v/>
      </c>
      <c r="H99" s="173" t="str">
        <f ca="1">IF(C99="Total",SUM(H$6:H98)+0.0001,"")</f>
        <v/>
      </c>
      <c r="I99" s="178"/>
      <c r="J99" s="175">
        <f>Calc!AE100</f>
        <v>0</v>
      </c>
      <c r="K99" s="122">
        <f>Calc!AF100</f>
        <v>0</v>
      </c>
      <c r="L99" s="122" t="str">
        <f ca="1">IF(Calc!AG100="Gewinn","eventueller Verlust",Calc!AG100)</f>
        <v/>
      </c>
      <c r="M99" s="117" t="str">
        <f ca="1">IF(L99="Total",SUM(M$6:M98)+0.0001,"")</f>
        <v/>
      </c>
      <c r="N99" s="117" t="str">
        <f ca="1">IF(L99="Total",SUM(N$6:N98)+0.0001,"")</f>
        <v/>
      </c>
      <c r="O99" s="75" t="str">
        <f ca="1">IF(L99="Total",SUM(O$6:O98)+0.0001,Calc!AH100)</f>
        <v/>
      </c>
      <c r="P99" s="167" t="str">
        <f t="shared" ca="1" si="4"/>
        <v/>
      </c>
      <c r="Q99" s="117" t="str">
        <f ca="1">IF(L99="Total",SUM(Q$6:Q98)+0.0001,"")</f>
        <v/>
      </c>
      <c r="V99">
        <v>2</v>
      </c>
      <c r="W99">
        <f t="shared" ca="1" si="6"/>
        <v>0</v>
      </c>
    </row>
    <row r="100" spans="1:23" ht="15">
      <c r="A100" s="123">
        <f>Calc!Y101</f>
        <v>0</v>
      </c>
      <c r="B100" s="122">
        <f>Calc!Z101</f>
        <v>0</v>
      </c>
      <c r="C100" s="122" t="str">
        <f ca="1">IF(Calc!AA101="Verlust","eventueller Gewinn",Calc!AA101)</f>
        <v/>
      </c>
      <c r="D100" s="117" t="str">
        <f ca="1">IF(C100="Total",SUM(D$6:D99)+0.0001,"")</f>
        <v/>
      </c>
      <c r="E100" s="117" t="str">
        <f ca="1">IF(C100="Total",SUM(E$6:E99)+0.0001,"")</f>
        <v/>
      </c>
      <c r="F100" s="75" t="str">
        <f ca="1">IF(C100="Total",SUM(F$5:F99)+0.0001,Calc!AB101)</f>
        <v/>
      </c>
      <c r="G100" s="167" t="str">
        <f t="shared" ca="1" si="5"/>
        <v/>
      </c>
      <c r="H100" s="173" t="str">
        <f ca="1">IF(C100="Total",SUM(H$6:H99)+0.0001,"")</f>
        <v/>
      </c>
      <c r="I100" s="178"/>
      <c r="J100" s="175">
        <f>Calc!AE101</f>
        <v>0</v>
      </c>
      <c r="K100" s="122">
        <f>Calc!AF101</f>
        <v>0</v>
      </c>
      <c r="L100" s="122" t="str">
        <f ca="1">IF(Calc!AG101="Gewinn","eventueller Verlust",Calc!AG101)</f>
        <v/>
      </c>
      <c r="M100" s="117" t="str">
        <f ca="1">IF(L100="Total",SUM(M$6:M99)+0.0001,"")</f>
        <v/>
      </c>
      <c r="N100" s="117" t="str">
        <f ca="1">IF(L100="Total",SUM(N$6:N99)+0.0001,"")</f>
        <v/>
      </c>
      <c r="O100" s="75" t="str">
        <f ca="1">IF(L100="Total",SUM(O$6:O99)+0.0001,Calc!AH101)</f>
        <v/>
      </c>
      <c r="P100" s="167" t="str">
        <f t="shared" ca="1" si="4"/>
        <v/>
      </c>
      <c r="Q100" s="117" t="str">
        <f ca="1">IF(L100="Total",SUM(Q$6:Q99)+0.0001,"")</f>
        <v/>
      </c>
      <c r="V100">
        <v>2</v>
      </c>
      <c r="W100">
        <f t="shared" ca="1" si="6"/>
        <v>0</v>
      </c>
    </row>
    <row r="101" spans="1:23" ht="15">
      <c r="A101" s="123">
        <f>Calc!Y102</f>
        <v>0</v>
      </c>
      <c r="B101" s="122">
        <f>Calc!Z102</f>
        <v>0</v>
      </c>
      <c r="C101" s="122" t="str">
        <f ca="1">IF(Calc!AA102="Verlust","eventueller Gewinn",Calc!AA102)</f>
        <v/>
      </c>
      <c r="D101" s="117" t="str">
        <f ca="1">IF(C101="Total",SUM(D$6:D100)+0.0001,"")</f>
        <v/>
      </c>
      <c r="E101" s="117" t="str">
        <f ca="1">IF(C101="Total",SUM(E$6:E100)+0.0001,"")</f>
        <v/>
      </c>
      <c r="F101" s="75" t="str">
        <f ca="1">IF(C101="Total",SUM(F$5:F100)+0.0001,Calc!AB102)</f>
        <v/>
      </c>
      <c r="G101" s="167" t="str">
        <f t="shared" ca="1" si="5"/>
        <v/>
      </c>
      <c r="H101" s="173" t="str">
        <f ca="1">IF(C101="Total",SUM(H$6:H100)+0.0001,"")</f>
        <v/>
      </c>
      <c r="I101" s="178"/>
      <c r="J101" s="175">
        <f>Calc!AE102</f>
        <v>0</v>
      </c>
      <c r="K101" s="122">
        <f>Calc!AF102</f>
        <v>0</v>
      </c>
      <c r="L101" s="122" t="str">
        <f ca="1">IF(Calc!AG102="Gewinn","eventueller Verlust",Calc!AG102)</f>
        <v/>
      </c>
      <c r="M101" s="117" t="str">
        <f ca="1">IF(L101="Total",SUM(M$6:M100)+0.0001,"")</f>
        <v/>
      </c>
      <c r="N101" s="117" t="str">
        <f ca="1">IF(L101="Total",SUM(N$6:N100)+0.0001,"")</f>
        <v/>
      </c>
      <c r="O101" s="75" t="str">
        <f ca="1">IF(L101="Total",SUM(O$6:O100)+0.0001,Calc!AH102)</f>
        <v/>
      </c>
      <c r="P101" s="167" t="str">
        <f t="shared" ca="1" si="4"/>
        <v/>
      </c>
      <c r="Q101" s="117" t="str">
        <f ca="1">IF(L101="Total",SUM(Q$6:Q100)+0.0001,"")</f>
        <v/>
      </c>
      <c r="V101">
        <v>2</v>
      </c>
      <c r="W101">
        <f t="shared" ca="1" si="6"/>
        <v>0</v>
      </c>
    </row>
    <row r="102" spans="1:23" ht="15">
      <c r="A102" s="123">
        <f>Calc!Y103</f>
        <v>0</v>
      </c>
      <c r="B102" s="122">
        <f>Calc!Z103</f>
        <v>0</v>
      </c>
      <c r="C102" s="122" t="str">
        <f ca="1">IF(Calc!AA103="Verlust","eventueller Gewinn",Calc!AA103)</f>
        <v/>
      </c>
      <c r="D102" s="117" t="str">
        <f ca="1">IF(C102="Total",SUM(D$6:D101)+0.0001,"")</f>
        <v/>
      </c>
      <c r="E102" s="117" t="str">
        <f ca="1">IF(C102="Total",SUM(E$6:E101)+0.0001,"")</f>
        <v/>
      </c>
      <c r="F102" s="75" t="str">
        <f ca="1">IF(C102="Total",SUM(F$5:F101)+0.0001,Calc!AB103)</f>
        <v/>
      </c>
      <c r="G102" s="167" t="str">
        <f t="shared" ca="1" si="5"/>
        <v/>
      </c>
      <c r="H102" s="173" t="str">
        <f ca="1">IF(C102="Total",SUM(H$6:H101)+0.0001,"")</f>
        <v/>
      </c>
      <c r="I102" s="178"/>
      <c r="J102" s="175">
        <f>Calc!AE103</f>
        <v>0</v>
      </c>
      <c r="K102" s="122">
        <f>Calc!AF103</f>
        <v>0</v>
      </c>
      <c r="L102" s="122" t="str">
        <f ca="1">IF(Calc!AG103="Gewinn","eventueller Verlust",Calc!AG103)</f>
        <v/>
      </c>
      <c r="M102" s="117" t="str">
        <f ca="1">IF(L102="Total",SUM(M$6:M101)+0.0001,"")</f>
        <v/>
      </c>
      <c r="N102" s="117" t="str">
        <f ca="1">IF(L102="Total",SUM(N$6:N101)+0.0001,"")</f>
        <v/>
      </c>
      <c r="O102" s="75" t="str">
        <f ca="1">IF(L102="Total",SUM(O$6:O101)+0.0001,Calc!AH103)</f>
        <v/>
      </c>
      <c r="P102" s="167" t="str">
        <f t="shared" ca="1" si="4"/>
        <v/>
      </c>
      <c r="Q102" s="117" t="str">
        <f ca="1">IF(L102="Total",SUM(Q$6:Q101)+0.0001,"")</f>
        <v/>
      </c>
      <c r="V102">
        <v>2</v>
      </c>
      <c r="W102">
        <f t="shared" ca="1" si="6"/>
        <v>0</v>
      </c>
    </row>
    <row r="103" spans="1:23" ht="15">
      <c r="A103" s="123">
        <f>Calc!Y104</f>
        <v>0</v>
      </c>
      <c r="B103" s="122">
        <f>Calc!Z104</f>
        <v>0</v>
      </c>
      <c r="C103" s="122" t="str">
        <f ca="1">IF(Calc!AA104="Verlust","eventueller Gewinn",Calc!AA104)</f>
        <v/>
      </c>
      <c r="D103" s="117" t="str">
        <f ca="1">IF(C103="Total",SUM(D$6:D102)+0.0001,"")</f>
        <v/>
      </c>
      <c r="E103" s="117" t="str">
        <f ca="1">IF(C103="Total",SUM(E$6:E102)+0.0001,"")</f>
        <v/>
      </c>
      <c r="F103" s="75" t="str">
        <f ca="1">IF(C103="Total",SUM(F$5:F102)+0.0001,Calc!AB104)</f>
        <v/>
      </c>
      <c r="G103" s="167" t="str">
        <f t="shared" ca="1" si="5"/>
        <v/>
      </c>
      <c r="H103" s="173" t="str">
        <f ca="1">IF(C103="Total",SUM(H$6:H102)+0.0001,"")</f>
        <v/>
      </c>
      <c r="I103" s="178"/>
      <c r="J103" s="175">
        <f>Calc!AE104</f>
        <v>0</v>
      </c>
      <c r="K103" s="122">
        <f>Calc!AF104</f>
        <v>0</v>
      </c>
      <c r="L103" s="122" t="str">
        <f ca="1">IF(Calc!AG104="Gewinn","eventueller Verlust",Calc!AG104)</f>
        <v/>
      </c>
      <c r="M103" s="117" t="str">
        <f ca="1">IF(L103="Total",SUM(M$6:M102)+0.0001,"")</f>
        <v/>
      </c>
      <c r="N103" s="117" t="str">
        <f ca="1">IF(L103="Total",SUM(N$6:N102)+0.0001,"")</f>
        <v/>
      </c>
      <c r="O103" s="75" t="str">
        <f ca="1">IF(L103="Total",SUM(O$6:O102)+0.0001,Calc!AH104)</f>
        <v/>
      </c>
      <c r="P103" s="167" t="str">
        <f t="shared" ca="1" si="4"/>
        <v/>
      </c>
      <c r="Q103" s="117" t="str">
        <f ca="1">IF(L103="Total",SUM(Q$6:Q102)+0.0001,"")</f>
        <v/>
      </c>
      <c r="V103">
        <v>2</v>
      </c>
      <c r="W103">
        <f t="shared" ca="1" si="6"/>
        <v>0</v>
      </c>
    </row>
    <row r="104" spans="1:23" ht="15">
      <c r="A104" s="123">
        <f>Calc!Y105</f>
        <v>0</v>
      </c>
      <c r="B104" s="122">
        <f>Calc!Z105</f>
        <v>0</v>
      </c>
      <c r="C104" s="122" t="str">
        <f ca="1">IF(Calc!AA105="Verlust","eventueller Gewinn",Calc!AA105)</f>
        <v/>
      </c>
      <c r="D104" s="117" t="str">
        <f ca="1">IF(C104="Total",SUM(D$6:D103)+0.0001,"")</f>
        <v/>
      </c>
      <c r="E104" s="117" t="str">
        <f ca="1">IF(C104="Total",SUM(E$6:E103)+0.0001,"")</f>
        <v/>
      </c>
      <c r="F104" s="75" t="str">
        <f ca="1">IF(C104="Total",SUM(F$5:F103)+0.0001,Calc!AB105)</f>
        <v/>
      </c>
      <c r="G104" s="167" t="str">
        <f t="shared" ca="1" si="5"/>
        <v/>
      </c>
      <c r="H104" s="173" t="str">
        <f ca="1">IF(C104="Total",SUM(H$6:H103)+0.0001,"")</f>
        <v/>
      </c>
      <c r="I104" s="178"/>
      <c r="J104" s="175">
        <f>Calc!AE105</f>
        <v>0</v>
      </c>
      <c r="K104" s="122">
        <f>Calc!AF105</f>
        <v>0</v>
      </c>
      <c r="L104" s="122" t="str">
        <f ca="1">IF(Calc!AG105="Gewinn","eventueller Verlust",Calc!AG105)</f>
        <v/>
      </c>
      <c r="M104" s="117" t="str">
        <f ca="1">IF(L104="Total",SUM(M$6:M103)+0.0001,"")</f>
        <v/>
      </c>
      <c r="N104" s="117" t="str">
        <f ca="1">IF(L104="Total",SUM(N$6:N103)+0.0001,"")</f>
        <v/>
      </c>
      <c r="O104" s="75" t="str">
        <f ca="1">IF(L104="Total",SUM(O$6:O103)+0.0001,Calc!AH105)</f>
        <v/>
      </c>
      <c r="P104" s="167" t="str">
        <f t="shared" ca="1" si="4"/>
        <v/>
      </c>
      <c r="Q104" s="117" t="str">
        <f ca="1">IF(L104="Total",SUM(Q$6:Q103)+0.0001,"")</f>
        <v/>
      </c>
      <c r="V104">
        <v>2</v>
      </c>
      <c r="W104">
        <f t="shared" ca="1" si="6"/>
        <v>0</v>
      </c>
    </row>
    <row r="105" spans="1:23" ht="15">
      <c r="A105" s="123">
        <f>Calc!Y106</f>
        <v>0</v>
      </c>
      <c r="B105" s="122">
        <f>Calc!Z106</f>
        <v>0</v>
      </c>
      <c r="C105" s="122" t="str">
        <f ca="1">IF(Calc!AA106="Verlust","eventueller Gewinn",Calc!AA106)</f>
        <v/>
      </c>
      <c r="D105" s="117" t="str">
        <f ca="1">IF(C105="Total",SUM(D$6:D104)+0.0001,"")</f>
        <v/>
      </c>
      <c r="E105" s="117" t="str">
        <f ca="1">IF(C105="Total",SUM(E$6:E104)+0.0001,"")</f>
        <v/>
      </c>
      <c r="F105" s="75" t="str">
        <f ca="1">IF(C105="Total",SUM(F$5:F104)+0.0001,Calc!AB106)</f>
        <v/>
      </c>
      <c r="G105" s="167" t="str">
        <f t="shared" ca="1" si="5"/>
        <v/>
      </c>
      <c r="H105" s="173" t="str">
        <f ca="1">IF(C105="Total",SUM(H$6:H104)+0.0001,"")</f>
        <v/>
      </c>
      <c r="I105" s="178"/>
      <c r="J105" s="175">
        <f>Calc!AE106</f>
        <v>0</v>
      </c>
      <c r="K105" s="122">
        <f>Calc!AF106</f>
        <v>0</v>
      </c>
      <c r="L105" s="122" t="str">
        <f ca="1">IF(Calc!AG106="Gewinn","eventueller Verlust",Calc!AG106)</f>
        <v/>
      </c>
      <c r="M105" s="117" t="str">
        <f ca="1">IF(L105="Total",SUM(M$6:M104)+0.0001,"")</f>
        <v/>
      </c>
      <c r="N105" s="117" t="str">
        <f ca="1">IF(L105="Total",SUM(N$6:N104)+0.0001,"")</f>
        <v/>
      </c>
      <c r="O105" s="75" t="str">
        <f ca="1">IF(L105="Total",SUM(O$6:O104)+0.0001,Calc!AH106)</f>
        <v/>
      </c>
      <c r="P105" s="167" t="str">
        <f t="shared" ca="1" si="4"/>
        <v/>
      </c>
      <c r="Q105" s="117" t="str">
        <f ca="1">IF(L105="Total",SUM(Q$6:Q104)+0.0001,"")</f>
        <v/>
      </c>
      <c r="V105">
        <v>2</v>
      </c>
      <c r="W105">
        <f t="shared" ca="1" si="6"/>
        <v>0</v>
      </c>
    </row>
    <row r="106" spans="1:23" ht="15">
      <c r="A106" s="123">
        <f>Calc!Y107</f>
        <v>0</v>
      </c>
      <c r="B106" s="122">
        <f>Calc!Z107</f>
        <v>0</v>
      </c>
      <c r="C106" s="122" t="str">
        <f ca="1">IF(Calc!AA107="Verlust","eventueller Gewinn",Calc!AA107)</f>
        <v/>
      </c>
      <c r="D106" s="117" t="str">
        <f ca="1">IF(C106="Total",SUM(D$6:D105)+0.0001,"")</f>
        <v/>
      </c>
      <c r="E106" s="117" t="str">
        <f ca="1">IF(C106="Total",SUM(E$6:E105)+0.0001,"")</f>
        <v/>
      </c>
      <c r="F106" s="75" t="str">
        <f ca="1">IF(C106="Total",SUM(F$5:F105)+0.0001,Calc!AB107)</f>
        <v/>
      </c>
      <c r="G106" s="167" t="str">
        <f t="shared" ca="1" si="5"/>
        <v/>
      </c>
      <c r="H106" s="173" t="str">
        <f ca="1">IF(C106="Total",SUM(H$6:H105)+0.0001,"")</f>
        <v/>
      </c>
      <c r="I106" s="178"/>
      <c r="J106" s="175">
        <f>Calc!AE107</f>
        <v>0</v>
      </c>
      <c r="K106" s="122">
        <f>Calc!AF107</f>
        <v>0</v>
      </c>
      <c r="L106" s="122" t="str">
        <f ca="1">IF(Calc!AG107="Gewinn","eventueller Verlust",Calc!AG107)</f>
        <v/>
      </c>
      <c r="M106" s="117" t="str">
        <f ca="1">IF(L106="Total",SUM(M$6:M105)+0.0001,"")</f>
        <v/>
      </c>
      <c r="N106" s="117" t="str">
        <f ca="1">IF(L106="Total",SUM(N$6:N105)+0.0001,"")</f>
        <v/>
      </c>
      <c r="O106" s="75" t="str">
        <f ca="1">IF(L106="Total",SUM(O$6:O105)+0.0001,Calc!AH107)</f>
        <v/>
      </c>
      <c r="P106" s="167" t="str">
        <f t="shared" ca="1" si="4"/>
        <v/>
      </c>
      <c r="Q106" s="117" t="str">
        <f ca="1">IF(L106="Total",SUM(Q$6:Q105)+0.0001,"")</f>
        <v/>
      </c>
      <c r="V106">
        <v>2</v>
      </c>
      <c r="W106">
        <f t="shared" ca="1" si="6"/>
        <v>0</v>
      </c>
    </row>
    <row r="107" spans="1:23" ht="15">
      <c r="A107" s="123">
        <f>Calc!Y108</f>
        <v>0</v>
      </c>
      <c r="B107" s="122">
        <f>Calc!Z108</f>
        <v>0</v>
      </c>
      <c r="C107" s="122" t="str">
        <f ca="1">IF(Calc!AA108="Verlust","eventueller Gewinn",Calc!AA108)</f>
        <v/>
      </c>
      <c r="D107" s="117" t="str">
        <f ca="1">IF(C107="Total",SUM(D$6:D106)+0.0001,"")</f>
        <v/>
      </c>
      <c r="E107" s="117" t="str">
        <f ca="1">IF(C107="Total",SUM(E$6:E106)+0.0001,"")</f>
        <v/>
      </c>
      <c r="F107" s="75" t="str">
        <f ca="1">IF(C107="Total",SUM(F$5:F106)+0.0001,Calc!AB108)</f>
        <v/>
      </c>
      <c r="G107" s="167" t="str">
        <f t="shared" ca="1" si="5"/>
        <v/>
      </c>
      <c r="H107" s="173" t="str">
        <f ca="1">IF(C107="Total",SUM(H$6:H106)+0.0001,"")</f>
        <v/>
      </c>
      <c r="I107" s="178"/>
      <c r="J107" s="175">
        <f>Calc!AE108</f>
        <v>0</v>
      </c>
      <c r="K107" s="122">
        <f>Calc!AF108</f>
        <v>0</v>
      </c>
      <c r="L107" s="122" t="str">
        <f ca="1">IF(Calc!AG108="Gewinn","eventueller Verlust",Calc!AG108)</f>
        <v/>
      </c>
      <c r="M107" s="117" t="str">
        <f ca="1">IF(L107="Total",SUM(M$6:M106)+0.0001,"")</f>
        <v/>
      </c>
      <c r="N107" s="117" t="str">
        <f ca="1">IF(L107="Total",SUM(N$6:N106)+0.0001,"")</f>
        <v/>
      </c>
      <c r="O107" s="75" t="str">
        <f ca="1">IF(L107="Total",SUM(O$6:O106)+0.0001,Calc!AH108)</f>
        <v/>
      </c>
      <c r="P107" s="167" t="str">
        <f t="shared" ca="1" si="4"/>
        <v/>
      </c>
      <c r="Q107" s="117" t="str">
        <f ca="1">IF(L107="Total",SUM(Q$6:Q106)+0.0001,"")</f>
        <v/>
      </c>
      <c r="V107">
        <v>2</v>
      </c>
      <c r="W107">
        <f t="shared" ca="1" si="6"/>
        <v>0</v>
      </c>
    </row>
    <row r="108" spans="1:23" ht="15">
      <c r="A108" s="123">
        <f>Calc!Y109</f>
        <v>0</v>
      </c>
      <c r="B108" s="122">
        <f>Calc!Z109</f>
        <v>0</v>
      </c>
      <c r="C108" s="122" t="str">
        <f ca="1">IF(Calc!AA109="Verlust","eventueller Gewinn",Calc!AA109)</f>
        <v/>
      </c>
      <c r="D108" s="117" t="str">
        <f ca="1">IF(C108="Total",SUM(D$6:D107)+0.0001,"")</f>
        <v/>
      </c>
      <c r="E108" s="117" t="str">
        <f ca="1">IF(C108="Total",SUM(E$6:E107)+0.0001,"")</f>
        <v/>
      </c>
      <c r="F108" s="75" t="str">
        <f ca="1">IF(C108="Total",SUM(F$5:F107)+0.0001,Calc!AB109)</f>
        <v/>
      </c>
      <c r="G108" s="167" t="str">
        <f t="shared" ca="1" si="5"/>
        <v/>
      </c>
      <c r="H108" s="173" t="str">
        <f ca="1">IF(C108="Total",SUM(H$6:H107)+0.0001,"")</f>
        <v/>
      </c>
      <c r="I108" s="178"/>
      <c r="J108" s="175">
        <f>Calc!AE109</f>
        <v>0</v>
      </c>
      <c r="K108" s="122">
        <f>Calc!AF109</f>
        <v>0</v>
      </c>
      <c r="L108" s="122" t="str">
        <f ca="1">IF(Calc!AG109="Gewinn","eventueller Verlust",Calc!AG109)</f>
        <v/>
      </c>
      <c r="M108" s="117" t="str">
        <f ca="1">IF(L108="Total",SUM(M$6:M107)+0.0001,"")</f>
        <v/>
      </c>
      <c r="N108" s="117" t="str">
        <f ca="1">IF(L108="Total",SUM(N$6:N107)+0.0001,"")</f>
        <v/>
      </c>
      <c r="O108" s="75" t="str">
        <f ca="1">IF(L108="Total",SUM(O$6:O107)+0.0001,Calc!AH109)</f>
        <v/>
      </c>
      <c r="P108" s="167" t="str">
        <f t="shared" ca="1" si="4"/>
        <v/>
      </c>
      <c r="Q108" s="117" t="str">
        <f ca="1">IF(L108="Total",SUM(Q$6:Q107)+0.0001,"")</f>
        <v/>
      </c>
      <c r="V108">
        <v>3</v>
      </c>
      <c r="W108">
        <f t="shared" ca="1" si="6"/>
        <v>0</v>
      </c>
    </row>
    <row r="109" spans="1:23" ht="15">
      <c r="A109" s="123">
        <f>Calc!Y110</f>
        <v>0</v>
      </c>
      <c r="B109" s="122">
        <f>Calc!Z110</f>
        <v>0</v>
      </c>
      <c r="C109" s="122" t="str">
        <f ca="1">IF(Calc!AA110="Verlust","eventueller Gewinn",Calc!AA110)</f>
        <v/>
      </c>
      <c r="D109" s="117" t="str">
        <f ca="1">IF(C109="Total",SUM(D$6:D108)+0.0001,"")</f>
        <v/>
      </c>
      <c r="E109" s="117" t="str">
        <f ca="1">IF(C109="Total",SUM(E$6:E108)+0.0001,"")</f>
        <v/>
      </c>
      <c r="F109" s="75" t="str">
        <f ca="1">IF(C109="Total",SUM(F$5:F108)+0.0001,Calc!AB110)</f>
        <v/>
      </c>
      <c r="G109" s="167" t="str">
        <f t="shared" ca="1" si="5"/>
        <v/>
      </c>
      <c r="H109" s="173" t="str">
        <f ca="1">IF(C109="Total",SUM(H$6:H108)+0.0001,"")</f>
        <v/>
      </c>
      <c r="I109" s="178"/>
      <c r="J109" s="175">
        <f>Calc!AE110</f>
        <v>0</v>
      </c>
      <c r="K109" s="122">
        <f>Calc!AF110</f>
        <v>0</v>
      </c>
      <c r="L109" s="122" t="str">
        <f ca="1">IF(Calc!AG110="Gewinn","eventueller Verlust",Calc!AG110)</f>
        <v/>
      </c>
      <c r="M109" s="117" t="str">
        <f ca="1">IF(L109="Total",SUM(M$6:M108)+0.0001,"")</f>
        <v/>
      </c>
      <c r="N109" s="117" t="str">
        <f ca="1">IF(L109="Total",SUM(N$6:N108)+0.0001,"")</f>
        <v/>
      </c>
      <c r="O109" s="75" t="str">
        <f ca="1">IF(L109="Total",SUM(O$6:O108)+0.0001,Calc!AH110)</f>
        <v/>
      </c>
      <c r="P109" s="167" t="str">
        <f t="shared" ca="1" si="4"/>
        <v/>
      </c>
      <c r="Q109" s="117" t="str">
        <f ca="1">IF(L109="Total",SUM(Q$6:Q108)+0.0001,"")</f>
        <v/>
      </c>
      <c r="V109">
        <v>3</v>
      </c>
      <c r="W109">
        <f t="shared" ca="1" si="6"/>
        <v>0</v>
      </c>
    </row>
    <row r="110" spans="1:23" ht="15">
      <c r="A110" s="123">
        <f>Calc!Y111</f>
        <v>0</v>
      </c>
      <c r="B110" s="122">
        <f>Calc!Z111</f>
        <v>0</v>
      </c>
      <c r="C110" s="122" t="str">
        <f ca="1">IF(Calc!AA111="Verlust","eventueller Gewinn",Calc!AA111)</f>
        <v/>
      </c>
      <c r="D110" s="117" t="str">
        <f ca="1">IF(C110="Total",SUM(D$6:D109)+0.0001,"")</f>
        <v/>
      </c>
      <c r="E110" s="117" t="str">
        <f ca="1">IF(C110="Total",SUM(E$6:E109)+0.0001,"")</f>
        <v/>
      </c>
      <c r="F110" s="75" t="str">
        <f ca="1">IF(C110="Total",SUM(F$5:F109)+0.0001,Calc!AB111)</f>
        <v/>
      </c>
      <c r="G110" s="167" t="str">
        <f t="shared" ca="1" si="5"/>
        <v/>
      </c>
      <c r="H110" s="173" t="str">
        <f ca="1">IF(C110="Total",SUM(H$6:H109)+0.0001,"")</f>
        <v/>
      </c>
      <c r="I110" s="178"/>
      <c r="J110" s="175">
        <f>Calc!AE111</f>
        <v>0</v>
      </c>
      <c r="K110" s="122">
        <f>Calc!AF111</f>
        <v>0</v>
      </c>
      <c r="L110" s="122" t="str">
        <f ca="1">IF(Calc!AG111="Gewinn","eventueller Verlust",Calc!AG111)</f>
        <v/>
      </c>
      <c r="M110" s="117" t="str">
        <f ca="1">IF(L110="Total",SUM(M$6:M109)+0.0001,"")</f>
        <v/>
      </c>
      <c r="N110" s="117" t="str">
        <f ca="1">IF(L110="Total",SUM(N$6:N109)+0.0001,"")</f>
        <v/>
      </c>
      <c r="O110" s="75" t="str">
        <f ca="1">IF(L110="Total",SUM(O$6:O109)+0.0001,Calc!AH111)</f>
        <v/>
      </c>
      <c r="P110" s="167" t="str">
        <f t="shared" ca="1" si="4"/>
        <v/>
      </c>
      <c r="Q110" s="117" t="str">
        <f ca="1">IF(L110="Total",SUM(Q$6:Q109)+0.0001,"")</f>
        <v/>
      </c>
      <c r="V110">
        <v>3</v>
      </c>
      <c r="W110">
        <f t="shared" ca="1" si="6"/>
        <v>0</v>
      </c>
    </row>
    <row r="111" spans="1:23" ht="15">
      <c r="A111" s="123">
        <f>Calc!Y112</f>
        <v>0</v>
      </c>
      <c r="B111" s="122">
        <f>Calc!Z112</f>
        <v>0</v>
      </c>
      <c r="C111" s="122" t="str">
        <f ca="1">IF(Calc!AA112="Verlust","eventueller Gewinn",Calc!AA112)</f>
        <v/>
      </c>
      <c r="D111" s="117" t="str">
        <f ca="1">IF(C111="Total",SUM(D$6:D110)+0.0001,"")</f>
        <v/>
      </c>
      <c r="E111" s="117" t="str">
        <f ca="1">IF(C111="Total",SUM(E$6:E110)+0.0001,"")</f>
        <v/>
      </c>
      <c r="F111" s="75" t="str">
        <f ca="1">IF(C111="Total",SUM(F$5:F110)+0.0001,Calc!AB112)</f>
        <v/>
      </c>
      <c r="G111" s="167" t="str">
        <f t="shared" ca="1" si="5"/>
        <v/>
      </c>
      <c r="H111" s="173" t="str">
        <f ca="1">IF(C111="Total",SUM(H$6:H110)+0.0001,"")</f>
        <v/>
      </c>
      <c r="I111" s="178"/>
      <c r="J111" s="175">
        <f>Calc!AE112</f>
        <v>0</v>
      </c>
      <c r="K111" s="122">
        <f>Calc!AF112</f>
        <v>0</v>
      </c>
      <c r="L111" s="122" t="str">
        <f ca="1">IF(Calc!AG112="Gewinn","eventueller Verlust",Calc!AG112)</f>
        <v/>
      </c>
      <c r="M111" s="117" t="str">
        <f ca="1">IF(L111="Total",SUM(M$6:M110)+0.0001,"")</f>
        <v/>
      </c>
      <c r="N111" s="117" t="str">
        <f ca="1">IF(L111="Total",SUM(N$6:N110)+0.0001,"")</f>
        <v/>
      </c>
      <c r="O111" s="75" t="str">
        <f ca="1">IF(L111="Total",SUM(O$6:O110)+0.0001,Calc!AH112)</f>
        <v/>
      </c>
      <c r="P111" s="167" t="str">
        <f t="shared" ca="1" si="4"/>
        <v/>
      </c>
      <c r="Q111" s="117" t="str">
        <f ca="1">IF(L111="Total",SUM(Q$6:Q110)+0.0001,"")</f>
        <v/>
      </c>
      <c r="V111">
        <v>3</v>
      </c>
      <c r="W111">
        <f t="shared" ca="1" si="6"/>
        <v>0</v>
      </c>
    </row>
    <row r="112" spans="1:23" ht="15">
      <c r="A112" s="123">
        <f>Calc!Y113</f>
        <v>0</v>
      </c>
      <c r="B112" s="122">
        <f>Calc!Z113</f>
        <v>0</v>
      </c>
      <c r="C112" s="122" t="str">
        <f ca="1">IF(Calc!AA113="Verlust","eventueller Gewinn",Calc!AA113)</f>
        <v/>
      </c>
      <c r="D112" s="117" t="str">
        <f ca="1">IF(C112="Total",SUM(D$6:D111)+0.0001,"")</f>
        <v/>
      </c>
      <c r="E112" s="117" t="str">
        <f ca="1">IF(C112="Total",SUM(E$6:E111)+0.0001,"")</f>
        <v/>
      </c>
      <c r="F112" s="75" t="str">
        <f ca="1">IF(C112="Total",SUM(F$5:F111)+0.0001,Calc!AB113)</f>
        <v/>
      </c>
      <c r="G112" s="167" t="str">
        <f t="shared" ca="1" si="5"/>
        <v/>
      </c>
      <c r="H112" s="173" t="str">
        <f ca="1">IF(C112="Total",SUM(H$6:H111)+0.0001,"")</f>
        <v/>
      </c>
      <c r="I112" s="178"/>
      <c r="J112" s="175">
        <f>Calc!AE113</f>
        <v>0</v>
      </c>
      <c r="K112" s="122">
        <f>Calc!AF113</f>
        <v>0</v>
      </c>
      <c r="L112" s="122" t="str">
        <f ca="1">IF(Calc!AG113="Gewinn","eventueller Verlust",Calc!AG113)</f>
        <v/>
      </c>
      <c r="M112" s="117" t="str">
        <f ca="1">IF(L112="Total",SUM(M$6:M111)+0.0001,"")</f>
        <v/>
      </c>
      <c r="N112" s="117" t="str">
        <f ca="1">IF(L112="Total",SUM(N$6:N111)+0.0001,"")</f>
        <v/>
      </c>
      <c r="O112" s="75" t="str">
        <f ca="1">IF(L112="Total",SUM(O$6:O111)+0.0001,Calc!AH113)</f>
        <v/>
      </c>
      <c r="P112" s="167" t="str">
        <f t="shared" ca="1" si="4"/>
        <v/>
      </c>
      <c r="Q112" s="117" t="str">
        <f ca="1">IF(L112="Total",SUM(Q$6:Q111)+0.0001,"")</f>
        <v/>
      </c>
      <c r="V112">
        <v>3</v>
      </c>
      <c r="W112">
        <f t="shared" ca="1" si="6"/>
        <v>0</v>
      </c>
    </row>
    <row r="113" spans="1:23" ht="15">
      <c r="A113" s="123">
        <f>Calc!Y114</f>
        <v>0</v>
      </c>
      <c r="B113" s="122">
        <f>Calc!Z114</f>
        <v>0</v>
      </c>
      <c r="C113" s="122" t="str">
        <f ca="1">IF(Calc!AA114="Verlust","eventueller Gewinn",Calc!AA114)</f>
        <v/>
      </c>
      <c r="D113" s="117" t="str">
        <f ca="1">IF(C113="Total",SUM(D$6:D112)+0.0001,"")</f>
        <v/>
      </c>
      <c r="E113" s="117" t="str">
        <f ca="1">IF(C113="Total",SUM(E$6:E112)+0.0001,"")</f>
        <v/>
      </c>
      <c r="F113" s="75" t="str">
        <f ca="1">IF(C113="Total",SUM(F$5:F112)+0.0001,Calc!AB114)</f>
        <v/>
      </c>
      <c r="G113" s="167" t="str">
        <f t="shared" ca="1" si="5"/>
        <v/>
      </c>
      <c r="H113" s="173" t="str">
        <f ca="1">IF(C113="Total",SUM(H$6:H112)+0.0001,"")</f>
        <v/>
      </c>
      <c r="I113" s="178"/>
      <c r="J113" s="175">
        <f>Calc!AE114</f>
        <v>0</v>
      </c>
      <c r="K113" s="122">
        <f>Calc!AF114</f>
        <v>0</v>
      </c>
      <c r="L113" s="122" t="str">
        <f ca="1">IF(Calc!AG114="Gewinn","eventueller Verlust",Calc!AG114)</f>
        <v/>
      </c>
      <c r="M113" s="117" t="str">
        <f ca="1">IF(L113="Total",SUM(M$6:M112)+0.0001,"")</f>
        <v/>
      </c>
      <c r="N113" s="117" t="str">
        <f ca="1">IF(L113="Total",SUM(N$6:N112)+0.0001,"")</f>
        <v/>
      </c>
      <c r="O113" s="75" t="str">
        <f ca="1">IF(L113="Total",SUM(O$6:O112)+0.0001,Calc!AH114)</f>
        <v/>
      </c>
      <c r="P113" s="167" t="str">
        <f t="shared" ca="1" si="4"/>
        <v/>
      </c>
      <c r="Q113" s="117" t="str">
        <f ca="1">IF(L113="Total",SUM(Q$6:Q112)+0.0001,"")</f>
        <v/>
      </c>
      <c r="V113">
        <v>3</v>
      </c>
      <c r="W113">
        <f t="shared" ca="1" si="6"/>
        <v>0</v>
      </c>
    </row>
    <row r="114" spans="1:23" ht="15">
      <c r="A114" s="123">
        <f>Calc!Y115</f>
        <v>0</v>
      </c>
      <c r="B114" s="122">
        <f>Calc!Z115</f>
        <v>0</v>
      </c>
      <c r="C114" s="122" t="str">
        <f ca="1">IF(Calc!AA115="Verlust","eventueller Gewinn",Calc!AA115)</f>
        <v/>
      </c>
      <c r="D114" s="117" t="str">
        <f ca="1">IF(C114="Total",SUM(D$6:D113)+0.0001,"")</f>
        <v/>
      </c>
      <c r="E114" s="117" t="str">
        <f ca="1">IF(C114="Total",SUM(E$6:E113)+0.0001,"")</f>
        <v/>
      </c>
      <c r="F114" s="75" t="str">
        <f ca="1">IF(C114="Total",SUM(F$5:F113)+0.0001,Calc!AB115)</f>
        <v/>
      </c>
      <c r="G114" s="167" t="str">
        <f t="shared" ca="1" si="5"/>
        <v/>
      </c>
      <c r="H114" s="173" t="str">
        <f ca="1">IF(C114="Total",SUM(H$6:H113)+0.0001,"")</f>
        <v/>
      </c>
      <c r="I114" s="178"/>
      <c r="J114" s="175">
        <f>Calc!AE115</f>
        <v>0</v>
      </c>
      <c r="K114" s="122">
        <f>Calc!AF115</f>
        <v>0</v>
      </c>
      <c r="L114" s="122" t="str">
        <f ca="1">IF(Calc!AG115="Gewinn","eventueller Verlust",Calc!AG115)</f>
        <v/>
      </c>
      <c r="M114" s="117" t="str">
        <f ca="1">IF(L114="Total",SUM(M$6:M113)+0.0001,"")</f>
        <v/>
      </c>
      <c r="N114" s="117" t="str">
        <f ca="1">IF(L114="Total",SUM(N$6:N113)+0.0001,"")</f>
        <v/>
      </c>
      <c r="O114" s="75" t="str">
        <f ca="1">IF(L114="Total",SUM(O$6:O113)+0.0001,Calc!AH115)</f>
        <v/>
      </c>
      <c r="P114" s="167" t="str">
        <f t="shared" ca="1" si="4"/>
        <v/>
      </c>
      <c r="Q114" s="117" t="str">
        <f ca="1">IF(L114="Total",SUM(Q$6:Q113)+0.0001,"")</f>
        <v/>
      </c>
      <c r="V114">
        <v>3</v>
      </c>
      <c r="W114">
        <f t="shared" ca="1" si="6"/>
        <v>0</v>
      </c>
    </row>
    <row r="115" spans="1:23" ht="15">
      <c r="A115" s="123">
        <f>Calc!Y116</f>
        <v>0</v>
      </c>
      <c r="B115" s="122">
        <f>Calc!Z116</f>
        <v>0</v>
      </c>
      <c r="C115" s="122" t="str">
        <f ca="1">IF(Calc!AA116="Verlust","eventueller Gewinn",Calc!AA116)</f>
        <v/>
      </c>
      <c r="D115" s="117" t="str">
        <f ca="1">IF(C115="Total",SUM(D$6:D114)+0.0001,"")</f>
        <v/>
      </c>
      <c r="E115" s="117" t="str">
        <f ca="1">IF(C115="Total",SUM(E$6:E114)+0.0001,"")</f>
        <v/>
      </c>
      <c r="F115" s="75" t="str">
        <f ca="1">IF(C115="Total",SUM(F$5:F114)+0.0001,Calc!AB116)</f>
        <v/>
      </c>
      <c r="G115" s="167" t="str">
        <f t="shared" ca="1" si="5"/>
        <v/>
      </c>
      <c r="H115" s="173" t="str">
        <f ca="1">IF(C115="Total",SUM(H$6:H114)+0.0001,"")</f>
        <v/>
      </c>
      <c r="I115" s="178"/>
      <c r="J115" s="175">
        <f>Calc!AE116</f>
        <v>0</v>
      </c>
      <c r="K115" s="122">
        <f>Calc!AF116</f>
        <v>0</v>
      </c>
      <c r="L115" s="122" t="str">
        <f ca="1">IF(Calc!AG116="Gewinn","eventueller Verlust",Calc!AG116)</f>
        <v/>
      </c>
      <c r="M115" s="117" t="str">
        <f ca="1">IF(L115="Total",SUM(M$6:M114)+0.0001,"")</f>
        <v/>
      </c>
      <c r="N115" s="117" t="str">
        <f ca="1">IF(L115="Total",SUM(N$6:N114)+0.0001,"")</f>
        <v/>
      </c>
      <c r="O115" s="75" t="str">
        <f ca="1">IF(L115="Total",SUM(O$6:O114)+0.0001,Calc!AH116)</f>
        <v/>
      </c>
      <c r="P115" s="167" t="str">
        <f t="shared" ca="1" si="4"/>
        <v/>
      </c>
      <c r="Q115" s="117" t="str">
        <f ca="1">IF(L115="Total",SUM(Q$6:Q114)+0.0001,"")</f>
        <v/>
      </c>
      <c r="V115">
        <v>3</v>
      </c>
      <c r="W115">
        <f t="shared" ca="1" si="6"/>
        <v>0</v>
      </c>
    </row>
    <row r="116" spans="1:23" ht="15">
      <c r="A116" s="123">
        <f>Calc!Y117</f>
        <v>0</v>
      </c>
      <c r="B116" s="122">
        <f>Calc!Z117</f>
        <v>0</v>
      </c>
      <c r="C116" s="122" t="str">
        <f ca="1">IF(Calc!AA117="Verlust","eventueller Gewinn",Calc!AA117)</f>
        <v/>
      </c>
      <c r="D116" s="117" t="str">
        <f ca="1">IF(C116="Total",SUM(D$6:D115)+0.0001,"")</f>
        <v/>
      </c>
      <c r="E116" s="117" t="str">
        <f ca="1">IF(C116="Total",SUM(E$6:E115)+0.0001,"")</f>
        <v/>
      </c>
      <c r="F116" s="75" t="str">
        <f ca="1">IF(C116="Total",SUM(F$5:F115)+0.0001,Calc!AB117)</f>
        <v/>
      </c>
      <c r="G116" s="167" t="str">
        <f t="shared" ca="1" si="5"/>
        <v/>
      </c>
      <c r="H116" s="173" t="str">
        <f ca="1">IF(C116="Total",SUM(H$6:H115)+0.0001,"")</f>
        <v/>
      </c>
      <c r="I116" s="178"/>
      <c r="J116" s="175">
        <f>Calc!AE117</f>
        <v>0</v>
      </c>
      <c r="K116" s="122">
        <f>Calc!AF117</f>
        <v>0</v>
      </c>
      <c r="L116" s="122" t="str">
        <f ca="1">IF(Calc!AG117="Gewinn","eventueller Verlust",Calc!AG117)</f>
        <v/>
      </c>
      <c r="M116" s="117" t="str">
        <f ca="1">IF(L116="Total",SUM(M$6:M115)+0.0001,"")</f>
        <v/>
      </c>
      <c r="N116" s="117" t="str">
        <f ca="1">IF(L116="Total",SUM(N$6:N115)+0.0001,"")</f>
        <v/>
      </c>
      <c r="O116" s="75" t="str">
        <f ca="1">IF(L116="Total",SUM(O$6:O115)+0.0001,Calc!AH117)</f>
        <v/>
      </c>
      <c r="P116" s="167" t="str">
        <f t="shared" ca="1" si="4"/>
        <v/>
      </c>
      <c r="Q116" s="117" t="str">
        <f ca="1">IF(L116="Total",SUM(Q$6:Q115)+0.0001,"")</f>
        <v/>
      </c>
      <c r="V116">
        <v>3</v>
      </c>
      <c r="W116">
        <f t="shared" ca="1" si="6"/>
        <v>0</v>
      </c>
    </row>
    <row r="117" spans="1:23" ht="15">
      <c r="A117" s="123">
        <f>Calc!Y118</f>
        <v>0</v>
      </c>
      <c r="B117" s="122">
        <f>Calc!Z118</f>
        <v>0</v>
      </c>
      <c r="C117" s="122" t="str">
        <f ca="1">IF(Calc!AA118="Verlust","eventueller Gewinn",Calc!AA118)</f>
        <v/>
      </c>
      <c r="D117" s="117" t="str">
        <f ca="1">IF(C117="Total",SUM(D$6:D116)+0.0001,"")</f>
        <v/>
      </c>
      <c r="E117" s="117" t="str">
        <f ca="1">IF(C117="Total",SUM(E$6:E116)+0.0001,"")</f>
        <v/>
      </c>
      <c r="F117" s="75" t="str">
        <f ca="1">IF(C117="Total",SUM(F$5:F116)+0.0001,Calc!AB118)</f>
        <v/>
      </c>
      <c r="G117" s="167" t="str">
        <f t="shared" ca="1" si="5"/>
        <v/>
      </c>
      <c r="H117" s="173" t="str">
        <f ca="1">IF(C117="Total",SUM(H$6:H116)+0.0001,"")</f>
        <v/>
      </c>
      <c r="I117" s="178"/>
      <c r="J117" s="175">
        <f>Calc!AE118</f>
        <v>0</v>
      </c>
      <c r="K117" s="122">
        <f>Calc!AF118</f>
        <v>0</v>
      </c>
      <c r="L117" s="122" t="str">
        <f ca="1">IF(Calc!AG118="Gewinn","eventueller Verlust",Calc!AG118)</f>
        <v/>
      </c>
      <c r="M117" s="117" t="str">
        <f ca="1">IF(L117="Total",SUM(M$6:M116)+0.0001,"")</f>
        <v/>
      </c>
      <c r="N117" s="117" t="str">
        <f ca="1">IF(L117="Total",SUM(N$6:N116)+0.0001,"")</f>
        <v/>
      </c>
      <c r="O117" s="75" t="str">
        <f ca="1">IF(L117="Total",SUM(O$6:O116)+0.0001,Calc!AH118)</f>
        <v/>
      </c>
      <c r="P117" s="167" t="str">
        <f t="shared" ca="1" si="4"/>
        <v/>
      </c>
      <c r="Q117" s="117" t="str">
        <f ca="1">IF(L117="Total",SUM(Q$6:Q116)+0.0001,"")</f>
        <v/>
      </c>
      <c r="V117">
        <v>3</v>
      </c>
      <c r="W117">
        <f t="shared" ca="1" si="6"/>
        <v>0</v>
      </c>
    </row>
    <row r="118" spans="1:23" ht="15">
      <c r="A118" s="123">
        <f>Calc!Y119</f>
        <v>0</v>
      </c>
      <c r="B118" s="122">
        <f>Calc!Z119</f>
        <v>0</v>
      </c>
      <c r="C118" s="122" t="str">
        <f ca="1">IF(Calc!AA119="Verlust","eventueller Gewinn",Calc!AA119)</f>
        <v/>
      </c>
      <c r="D118" s="117" t="str">
        <f ca="1">IF(C118="Total",SUM(D$6:D117)+0.0001,"")</f>
        <v/>
      </c>
      <c r="E118" s="117" t="str">
        <f ca="1">IF(C118="Total",SUM(E$6:E117)+0.0001,"")</f>
        <v/>
      </c>
      <c r="F118" s="75" t="str">
        <f ca="1">IF(C118="Total",SUM(F$5:F117)+0.0001,Calc!AB119)</f>
        <v/>
      </c>
      <c r="G118" s="167" t="str">
        <f t="shared" ca="1" si="5"/>
        <v/>
      </c>
      <c r="H118" s="173" t="str">
        <f ca="1">IF(C118="Total",SUM(H$6:H117)+0.0001,"")</f>
        <v/>
      </c>
      <c r="I118" s="178"/>
      <c r="J118" s="175">
        <f>Calc!AE119</f>
        <v>0</v>
      </c>
      <c r="K118" s="122">
        <f>Calc!AF119</f>
        <v>0</v>
      </c>
      <c r="L118" s="122" t="str">
        <f ca="1">IF(Calc!AG119="Gewinn","eventueller Verlust",Calc!AG119)</f>
        <v/>
      </c>
      <c r="M118" s="117" t="str">
        <f ca="1">IF(L118="Total",SUM(M$6:M117)+0.0001,"")</f>
        <v/>
      </c>
      <c r="N118" s="117" t="str">
        <f ca="1">IF(L118="Total",SUM(N$6:N117)+0.0001,"")</f>
        <v/>
      </c>
      <c r="O118" s="75" t="str">
        <f ca="1">IF(L118="Total",SUM(O$6:O117)+0.0001,Calc!AH119)</f>
        <v/>
      </c>
      <c r="P118" s="167" t="str">
        <f t="shared" ca="1" si="4"/>
        <v/>
      </c>
      <c r="Q118" s="117" t="str">
        <f ca="1">IF(L118="Total",SUM(Q$6:Q117)+0.0001,"")</f>
        <v/>
      </c>
      <c r="V118">
        <v>3</v>
      </c>
      <c r="W118">
        <f t="shared" ca="1" si="6"/>
        <v>0</v>
      </c>
    </row>
    <row r="119" spans="1:23" ht="15">
      <c r="A119" s="123">
        <f>Calc!Y120</f>
        <v>0</v>
      </c>
      <c r="B119" s="122">
        <f>Calc!Z120</f>
        <v>0</v>
      </c>
      <c r="C119" s="122" t="str">
        <f ca="1">IF(Calc!AA120="Verlust","eventueller Gewinn",Calc!AA120)</f>
        <v/>
      </c>
      <c r="D119" s="117" t="str">
        <f ca="1">IF(C119="Total",SUM(D$6:D118)+0.0001,"")</f>
        <v/>
      </c>
      <c r="E119" s="117" t="str">
        <f ca="1">IF(C119="Total",SUM(E$6:E118)+0.0001,"")</f>
        <v/>
      </c>
      <c r="F119" s="75" t="str">
        <f ca="1">IF(C119="Total",SUM(F$5:F118)+0.0001,Calc!AB120)</f>
        <v/>
      </c>
      <c r="G119" s="167" t="str">
        <f t="shared" ca="1" si="5"/>
        <v/>
      </c>
      <c r="H119" s="173" t="str">
        <f ca="1">IF(C119="Total",SUM(H$6:H118)+0.0001,"")</f>
        <v/>
      </c>
      <c r="I119" s="178"/>
      <c r="J119" s="175">
        <f>Calc!AE120</f>
        <v>0</v>
      </c>
      <c r="K119" s="122">
        <f>Calc!AF120</f>
        <v>0</v>
      </c>
      <c r="L119" s="122" t="str">
        <f ca="1">IF(Calc!AG120="Gewinn","eventueller Verlust",Calc!AG120)</f>
        <v/>
      </c>
      <c r="M119" s="117" t="str">
        <f ca="1">IF(L119="Total",SUM(M$6:M118)+0.0001,"")</f>
        <v/>
      </c>
      <c r="N119" s="117" t="str">
        <f ca="1">IF(L119="Total",SUM(N$6:N118)+0.0001,"")</f>
        <v/>
      </c>
      <c r="O119" s="75" t="str">
        <f ca="1">IF(L119="Total",SUM(O$6:O118)+0.0001,Calc!AH120)</f>
        <v/>
      </c>
      <c r="P119" s="167" t="str">
        <f t="shared" ca="1" si="4"/>
        <v/>
      </c>
      <c r="Q119" s="117" t="str">
        <f ca="1">IF(L119="Total",SUM(Q$6:Q118)+0.0001,"")</f>
        <v/>
      </c>
      <c r="V119">
        <v>3</v>
      </c>
      <c r="W119">
        <f t="shared" ca="1" si="6"/>
        <v>0</v>
      </c>
    </row>
    <row r="120" spans="1:23" ht="15">
      <c r="A120" s="123">
        <f>Calc!Y121</f>
        <v>0</v>
      </c>
      <c r="B120" s="122">
        <f>Calc!Z121</f>
        <v>0</v>
      </c>
      <c r="C120" s="122" t="str">
        <f ca="1">IF(Calc!AA121="Verlust","eventueller Gewinn",Calc!AA121)</f>
        <v/>
      </c>
      <c r="D120" s="117" t="str">
        <f ca="1">IF(C120="Total",SUM(D$6:D119)+0.0001,"")</f>
        <v/>
      </c>
      <c r="E120" s="117" t="str">
        <f ca="1">IF(C120="Total",SUM(E$6:E119)+0.0001,"")</f>
        <v/>
      </c>
      <c r="F120" s="75" t="str">
        <f ca="1">IF(C120="Total",SUM(F$5:F119)+0.0001,Calc!AB121)</f>
        <v/>
      </c>
      <c r="G120" s="167" t="str">
        <f t="shared" ca="1" si="5"/>
        <v/>
      </c>
      <c r="H120" s="173" t="str">
        <f ca="1">IF(C120="Total",SUM(H$6:H119)+0.0001,"")</f>
        <v/>
      </c>
      <c r="I120" s="178"/>
      <c r="J120" s="175">
        <f>Calc!AE121</f>
        <v>0</v>
      </c>
      <c r="K120" s="122">
        <f>Calc!AF121</f>
        <v>0</v>
      </c>
      <c r="L120" s="122" t="str">
        <f ca="1">IF(Calc!AG121="Gewinn","eventueller Verlust",Calc!AG121)</f>
        <v/>
      </c>
      <c r="M120" s="117" t="str">
        <f ca="1">IF(L120="Total",SUM(M$6:M119)+0.0001,"")</f>
        <v/>
      </c>
      <c r="N120" s="117" t="str">
        <f ca="1">IF(L120="Total",SUM(N$6:N119)+0.0001,"")</f>
        <v/>
      </c>
      <c r="O120" s="75" t="str">
        <f ca="1">IF(L120="Total",SUM(O$6:O119)+0.0001,Calc!AH121)</f>
        <v/>
      </c>
      <c r="P120" s="167" t="str">
        <f t="shared" ca="1" si="4"/>
        <v/>
      </c>
      <c r="Q120" s="117" t="str">
        <f ca="1">IF(L120="Total",SUM(Q$6:Q119)+0.0001,"")</f>
        <v/>
      </c>
      <c r="V120">
        <v>3</v>
      </c>
      <c r="W120">
        <f t="shared" ca="1" si="6"/>
        <v>0</v>
      </c>
    </row>
    <row r="121" spans="1:23" ht="15">
      <c r="A121" s="123">
        <f>Calc!Y122</f>
        <v>0</v>
      </c>
      <c r="B121" s="122">
        <f>Calc!Z122</f>
        <v>0</v>
      </c>
      <c r="C121" s="122" t="str">
        <f ca="1">IF(Calc!AA122="Verlust","eventueller Gewinn",Calc!AA122)</f>
        <v/>
      </c>
      <c r="D121" s="117" t="str">
        <f ca="1">IF(C121="Total",SUM(D$6:D120)+0.0001,"")</f>
        <v/>
      </c>
      <c r="E121" s="117" t="str">
        <f ca="1">IF(C121="Total",SUM(E$6:E120)+0.0001,"")</f>
        <v/>
      </c>
      <c r="F121" s="75" t="str">
        <f ca="1">IF(C121="Total",SUM(F$5:F120)+0.0001,Calc!AB122)</f>
        <v/>
      </c>
      <c r="G121" s="167" t="str">
        <f t="shared" ca="1" si="5"/>
        <v/>
      </c>
      <c r="H121" s="173" t="str">
        <f ca="1">IF(C121="Total",SUM(H$6:H120)+0.0001,"")</f>
        <v/>
      </c>
      <c r="I121" s="178"/>
      <c r="J121" s="175">
        <f>Calc!AE122</f>
        <v>0</v>
      </c>
      <c r="K121" s="122">
        <f>Calc!AF122</f>
        <v>0</v>
      </c>
      <c r="L121" s="122" t="str">
        <f ca="1">IF(Calc!AG122="Gewinn","eventueller Verlust",Calc!AG122)</f>
        <v/>
      </c>
      <c r="M121" s="117" t="str">
        <f ca="1">IF(L121="Total",SUM(M$6:M120)+0.0001,"")</f>
        <v/>
      </c>
      <c r="N121" s="117" t="str">
        <f ca="1">IF(L121="Total",SUM(N$6:N120)+0.0001,"")</f>
        <v/>
      </c>
      <c r="O121" s="75" t="str">
        <f ca="1">IF(L121="Total",SUM(O$6:O120)+0.0001,Calc!AH122)</f>
        <v/>
      </c>
      <c r="P121" s="167" t="str">
        <f t="shared" ca="1" si="4"/>
        <v/>
      </c>
      <c r="Q121" s="117" t="str">
        <f ca="1">IF(L121="Total",SUM(Q$6:Q120)+0.0001,"")</f>
        <v/>
      </c>
      <c r="V121">
        <v>3</v>
      </c>
      <c r="W121">
        <f t="shared" ca="1" si="6"/>
        <v>0</v>
      </c>
    </row>
    <row r="122" spans="1:23" ht="15">
      <c r="A122" s="123">
        <f>Calc!Y123</f>
        <v>0</v>
      </c>
      <c r="B122" s="122">
        <f>Calc!Z123</f>
        <v>0</v>
      </c>
      <c r="C122" s="122" t="str">
        <f ca="1">IF(Calc!AA123="Verlust","eventueller Gewinn",Calc!AA123)</f>
        <v/>
      </c>
      <c r="D122" s="117" t="str">
        <f ca="1">IF(C122="Total",SUM(D$6:D121)+0.0001,"")</f>
        <v/>
      </c>
      <c r="E122" s="117" t="str">
        <f ca="1">IF(C122="Total",SUM(E$6:E121)+0.0001,"")</f>
        <v/>
      </c>
      <c r="F122" s="75" t="str">
        <f ca="1">IF(C122="Total",SUM(F$5:F121)+0.0001,Calc!AB123)</f>
        <v/>
      </c>
      <c r="G122" s="167" t="str">
        <f t="shared" ca="1" si="5"/>
        <v/>
      </c>
      <c r="H122" s="173" t="str">
        <f ca="1">IF(C122="Total",SUM(H$6:H121)+0.0001,"")</f>
        <v/>
      </c>
      <c r="I122" s="178"/>
      <c r="J122" s="175">
        <f>Calc!AE123</f>
        <v>0</v>
      </c>
      <c r="K122" s="122">
        <f>Calc!AF123</f>
        <v>0</v>
      </c>
      <c r="L122" s="122" t="str">
        <f ca="1">IF(Calc!AG123="Gewinn","eventueller Verlust",Calc!AG123)</f>
        <v/>
      </c>
      <c r="M122" s="117" t="str">
        <f ca="1">IF(L122="Total",SUM(M$6:M121)+0.0001,"")</f>
        <v/>
      </c>
      <c r="N122" s="117" t="str">
        <f ca="1">IF(L122="Total",SUM(N$6:N121)+0.0001,"")</f>
        <v/>
      </c>
      <c r="O122" s="75" t="str">
        <f ca="1">IF(L122="Total",SUM(O$6:O121)+0.0001,Calc!AH123)</f>
        <v/>
      </c>
      <c r="P122" s="167" t="str">
        <f t="shared" ca="1" si="4"/>
        <v/>
      </c>
      <c r="Q122" s="117" t="str">
        <f ca="1">IF(L122="Total",SUM(Q$6:Q121)+0.0001,"")</f>
        <v/>
      </c>
      <c r="V122">
        <v>3</v>
      </c>
      <c r="W122">
        <f t="shared" ca="1" si="6"/>
        <v>0</v>
      </c>
    </row>
    <row r="123" spans="1:23" ht="15">
      <c r="A123" s="123">
        <f>Calc!Y124</f>
        <v>0</v>
      </c>
      <c r="B123" s="122">
        <f>Calc!Z124</f>
        <v>0</v>
      </c>
      <c r="C123" s="122" t="str">
        <f ca="1">IF(Calc!AA124="Verlust","eventueller Gewinn",Calc!AA124)</f>
        <v/>
      </c>
      <c r="D123" s="117" t="str">
        <f ca="1">IF(C123="Total",SUM(D$6:D122)+0.0001,"")</f>
        <v/>
      </c>
      <c r="E123" s="117" t="str">
        <f ca="1">IF(C123="Total",SUM(E$6:E122)+0.0001,"")</f>
        <v/>
      </c>
      <c r="F123" s="75" t="str">
        <f ca="1">IF(C123="Total",SUM(F$5:F122)+0.0001,Calc!AB124)</f>
        <v/>
      </c>
      <c r="G123" s="167" t="str">
        <f t="shared" ca="1" si="5"/>
        <v/>
      </c>
      <c r="H123" s="173" t="str">
        <f ca="1">IF(C123="Total",SUM(H$6:H122)+0.0001,"")</f>
        <v/>
      </c>
      <c r="I123" s="178"/>
      <c r="J123" s="175">
        <f>Calc!AE124</f>
        <v>0</v>
      </c>
      <c r="K123" s="122">
        <f>Calc!AF124</f>
        <v>0</v>
      </c>
      <c r="L123" s="122" t="str">
        <f ca="1">IF(Calc!AG124="Gewinn","eventueller Verlust",Calc!AG124)</f>
        <v/>
      </c>
      <c r="M123" s="117" t="str">
        <f ca="1">IF(L123="Total",SUM(M$6:M122)+0.0001,"")</f>
        <v/>
      </c>
      <c r="N123" s="117" t="str">
        <f ca="1">IF(L123="Total",SUM(N$6:N122)+0.0001,"")</f>
        <v/>
      </c>
      <c r="O123" s="75" t="str">
        <f ca="1">IF(L123="Total",SUM(O$6:O122)+0.0001,Calc!AH124)</f>
        <v/>
      </c>
      <c r="P123" s="167" t="str">
        <f t="shared" ca="1" si="4"/>
        <v/>
      </c>
      <c r="Q123" s="117" t="str">
        <f ca="1">IF(L123="Total",SUM(Q$6:Q122)+0.0001,"")</f>
        <v/>
      </c>
      <c r="V123">
        <v>3</v>
      </c>
      <c r="W123">
        <f t="shared" ca="1" si="6"/>
        <v>0</v>
      </c>
    </row>
    <row r="124" spans="1:23" ht="15">
      <c r="A124" s="123">
        <f>Calc!Y125</f>
        <v>0</v>
      </c>
      <c r="B124" s="122">
        <f>Calc!Z125</f>
        <v>0</v>
      </c>
      <c r="C124" s="122" t="str">
        <f ca="1">IF(Calc!AA125="Verlust","eventueller Gewinn",Calc!AA125)</f>
        <v/>
      </c>
      <c r="D124" s="117" t="str">
        <f ca="1">IF(C124="Total",SUM(D$6:D123)+0.0001,"")</f>
        <v/>
      </c>
      <c r="E124" s="117" t="str">
        <f ca="1">IF(C124="Total",SUM(E$6:E123)+0.0001,"")</f>
        <v/>
      </c>
      <c r="F124" s="75" t="str">
        <f ca="1">IF(C124="Total",SUM(F$5:F123)+0.0001,Calc!AB125)</f>
        <v/>
      </c>
      <c r="G124" s="167" t="str">
        <f t="shared" ca="1" si="5"/>
        <v/>
      </c>
      <c r="H124" s="173" t="str">
        <f ca="1">IF(C124="Total",SUM(H$6:H123)+0.0001,"")</f>
        <v/>
      </c>
      <c r="I124" s="178"/>
      <c r="J124" s="175">
        <f>Calc!AE125</f>
        <v>0</v>
      </c>
      <c r="K124" s="122">
        <f>Calc!AF125</f>
        <v>0</v>
      </c>
      <c r="L124" s="122" t="str">
        <f ca="1">IF(Calc!AG125="Gewinn","eventueller Verlust",Calc!AG125)</f>
        <v/>
      </c>
      <c r="M124" s="117" t="str">
        <f ca="1">IF(L124="Total",SUM(M$6:M123)+0.0001,"")</f>
        <v/>
      </c>
      <c r="N124" s="117" t="str">
        <f ca="1">IF(L124="Total",SUM(N$6:N123)+0.0001,"")</f>
        <v/>
      </c>
      <c r="O124" s="75" t="str">
        <f ca="1">IF(L124="Total",SUM(O$6:O123)+0.0001,Calc!AH125)</f>
        <v/>
      </c>
      <c r="P124" s="167" t="str">
        <f t="shared" ca="1" si="4"/>
        <v/>
      </c>
      <c r="Q124" s="117" t="str">
        <f ca="1">IF(L124="Total",SUM(Q$6:Q123)+0.0001,"")</f>
        <v/>
      </c>
      <c r="V124">
        <v>3</v>
      </c>
      <c r="W124">
        <f t="shared" ca="1" si="6"/>
        <v>0</v>
      </c>
    </row>
    <row r="125" spans="1:23" ht="15">
      <c r="A125" s="123">
        <f>Calc!Y126</f>
        <v>0</v>
      </c>
      <c r="B125" s="122">
        <f>Calc!Z126</f>
        <v>0</v>
      </c>
      <c r="C125" s="122" t="str">
        <f ca="1">IF(Calc!AA126="Verlust","eventueller Gewinn",Calc!AA126)</f>
        <v/>
      </c>
      <c r="D125" s="117" t="str">
        <f ca="1">IF(C125="Total",SUM(D$6:D124)+0.0001,"")</f>
        <v/>
      </c>
      <c r="E125" s="117" t="str">
        <f ca="1">IF(C125="Total",SUM(E$6:E124)+0.0001,"")</f>
        <v/>
      </c>
      <c r="F125" s="75" t="str">
        <f ca="1">IF(C125="Total",SUM(F$5:F124)+0.0001,Calc!AB126)</f>
        <v/>
      </c>
      <c r="G125" s="167" t="str">
        <f t="shared" ca="1" si="5"/>
        <v/>
      </c>
      <c r="H125" s="173" t="str">
        <f ca="1">IF(C125="Total",SUM(H$6:H124)+0.0001,"")</f>
        <v/>
      </c>
      <c r="I125" s="178"/>
      <c r="J125" s="175">
        <f>Calc!AE126</f>
        <v>0</v>
      </c>
      <c r="K125" s="122">
        <f>Calc!AF126</f>
        <v>0</v>
      </c>
      <c r="L125" s="122" t="str">
        <f ca="1">IF(Calc!AG126="Gewinn","eventueller Verlust",Calc!AG126)</f>
        <v/>
      </c>
      <c r="M125" s="117" t="str">
        <f ca="1">IF(L125="Total",SUM(M$6:M124)+0.0001,"")</f>
        <v/>
      </c>
      <c r="N125" s="117" t="str">
        <f ca="1">IF(L125="Total",SUM(N$6:N124)+0.0001,"")</f>
        <v/>
      </c>
      <c r="O125" s="75" t="str">
        <f ca="1">IF(L125="Total",SUM(O$6:O124)+0.0001,Calc!AH126)</f>
        <v/>
      </c>
      <c r="P125" s="167" t="str">
        <f t="shared" ca="1" si="4"/>
        <v/>
      </c>
      <c r="Q125" s="117" t="str">
        <f ca="1">IF(L125="Total",SUM(Q$6:Q124)+0.0001,"")</f>
        <v/>
      </c>
      <c r="V125">
        <v>3</v>
      </c>
      <c r="W125">
        <f t="shared" ca="1" si="6"/>
        <v>0</v>
      </c>
    </row>
    <row r="126" spans="1:23" ht="15">
      <c r="A126" s="123">
        <f>Calc!Y127</f>
        <v>0</v>
      </c>
      <c r="B126" s="122">
        <f>Calc!Z127</f>
        <v>0</v>
      </c>
      <c r="C126" s="122" t="str">
        <f ca="1">IF(Calc!AA127="Verlust","eventueller Gewinn",Calc!AA127)</f>
        <v/>
      </c>
      <c r="D126" s="117" t="str">
        <f ca="1">IF(C126="Total",SUM(D$6:D125)+0.0001,"")</f>
        <v/>
      </c>
      <c r="E126" s="117" t="str">
        <f ca="1">IF(C126="Total",SUM(E$6:E125)+0.0001,"")</f>
        <v/>
      </c>
      <c r="F126" s="75" t="str">
        <f ca="1">IF(C126="Total",SUM(F$5:F125)+0.0001,Calc!AB127)</f>
        <v/>
      </c>
      <c r="G126" s="167" t="str">
        <f t="shared" ca="1" si="5"/>
        <v/>
      </c>
      <c r="H126" s="173" t="str">
        <f ca="1">IF(C126="Total",SUM(H$6:H125)+0.0001,"")</f>
        <v/>
      </c>
      <c r="I126" s="178"/>
      <c r="J126" s="175">
        <f>Calc!AE127</f>
        <v>0</v>
      </c>
      <c r="K126" s="122">
        <f>Calc!AF127</f>
        <v>0</v>
      </c>
      <c r="L126" s="122" t="str">
        <f ca="1">IF(Calc!AG127="Gewinn","eventueller Verlust",Calc!AG127)</f>
        <v/>
      </c>
      <c r="M126" s="117" t="str">
        <f ca="1">IF(L126="Total",SUM(M$6:M125)+0.0001,"")</f>
        <v/>
      </c>
      <c r="N126" s="117" t="str">
        <f ca="1">IF(L126="Total",SUM(N$6:N125)+0.0001,"")</f>
        <v/>
      </c>
      <c r="O126" s="75" t="str">
        <f ca="1">IF(L126="Total",SUM(O$6:O125)+0.0001,Calc!AH127)</f>
        <v/>
      </c>
      <c r="P126" s="167" t="str">
        <f t="shared" ca="1" si="4"/>
        <v/>
      </c>
      <c r="Q126" s="117" t="str">
        <f ca="1">IF(L126="Total",SUM(Q$6:Q125)+0.0001,"")</f>
        <v/>
      </c>
      <c r="V126">
        <v>3</v>
      </c>
      <c r="W126">
        <f t="shared" ca="1" si="6"/>
        <v>0</v>
      </c>
    </row>
    <row r="127" spans="1:23" ht="15">
      <c r="A127" s="123">
        <f>Calc!Y128</f>
        <v>0</v>
      </c>
      <c r="B127" s="122">
        <f>Calc!Z128</f>
        <v>0</v>
      </c>
      <c r="C127" s="122" t="str">
        <f ca="1">IF(Calc!AA128="Verlust","eventueller Gewinn",Calc!AA128)</f>
        <v/>
      </c>
      <c r="D127" s="117" t="str">
        <f ca="1">IF(C127="Total",SUM(D$6:D126)+0.0001,"")</f>
        <v/>
      </c>
      <c r="E127" s="117" t="str">
        <f ca="1">IF(C127="Total",SUM(E$6:E126)+0.0001,"")</f>
        <v/>
      </c>
      <c r="F127" s="75" t="str">
        <f ca="1">IF(C127="Total",SUM(F$5:F126)+0.0001,Calc!AB128)</f>
        <v/>
      </c>
      <c r="G127" s="167" t="str">
        <f t="shared" ca="1" si="5"/>
        <v/>
      </c>
      <c r="H127" s="173" t="str">
        <f ca="1">IF(C127="Total",SUM(H$6:H126)+0.0001,"")</f>
        <v/>
      </c>
      <c r="I127" s="178"/>
      <c r="J127" s="175">
        <f>Calc!AE128</f>
        <v>0</v>
      </c>
      <c r="K127" s="122">
        <f>Calc!AF128</f>
        <v>0</v>
      </c>
      <c r="L127" s="122" t="str">
        <f ca="1">IF(Calc!AG128="Gewinn","eventueller Verlust",Calc!AG128)</f>
        <v/>
      </c>
      <c r="M127" s="117" t="str">
        <f ca="1">IF(L127="Total",SUM(M$6:M126)+0.0001,"")</f>
        <v/>
      </c>
      <c r="N127" s="117" t="str">
        <f ca="1">IF(L127="Total",SUM(N$6:N126)+0.0001,"")</f>
        <v/>
      </c>
      <c r="O127" s="75" t="str">
        <f ca="1">IF(L127="Total",SUM(O$6:O126)+0.0001,Calc!AH128)</f>
        <v/>
      </c>
      <c r="P127" s="167" t="str">
        <f t="shared" ca="1" si="4"/>
        <v/>
      </c>
      <c r="Q127" s="117" t="str">
        <f ca="1">IF(L127="Total",SUM(Q$6:Q126)+0.0001,"")</f>
        <v/>
      </c>
      <c r="V127">
        <v>3</v>
      </c>
      <c r="W127">
        <f t="shared" ca="1" si="6"/>
        <v>0</v>
      </c>
    </row>
    <row r="128" spans="1:23" ht="15">
      <c r="A128" s="123">
        <f>Calc!Y129</f>
        <v>0</v>
      </c>
      <c r="B128" s="122">
        <f>Calc!Z129</f>
        <v>0</v>
      </c>
      <c r="C128" s="122" t="str">
        <f ca="1">IF(Calc!AA129="Verlust","eventueller Gewinn",Calc!AA129)</f>
        <v/>
      </c>
      <c r="D128" s="117" t="str">
        <f ca="1">IF(C128="Total",SUM(D$6:D127)+0.0001,"")</f>
        <v/>
      </c>
      <c r="E128" s="117" t="str">
        <f ca="1">IF(C128="Total",SUM(E$6:E127)+0.0001,"")</f>
        <v/>
      </c>
      <c r="F128" s="75" t="str">
        <f ca="1">IF(C128="Total",SUM(F$5:F127)+0.0001,Calc!AB129)</f>
        <v/>
      </c>
      <c r="G128" s="167" t="str">
        <f t="shared" ca="1" si="5"/>
        <v/>
      </c>
      <c r="H128" s="173" t="str">
        <f ca="1">IF(C128="Total",SUM(H$6:H127)+0.0001,"")</f>
        <v/>
      </c>
      <c r="I128" s="178"/>
      <c r="J128" s="175">
        <f>Calc!AE129</f>
        <v>0</v>
      </c>
      <c r="K128" s="122">
        <f>Calc!AF129</f>
        <v>0</v>
      </c>
      <c r="L128" s="122" t="str">
        <f ca="1">IF(Calc!AG129="Gewinn","eventueller Verlust",Calc!AG129)</f>
        <v/>
      </c>
      <c r="M128" s="117" t="str">
        <f ca="1">IF(L128="Total",SUM(M$6:M127)+0.0001,"")</f>
        <v/>
      </c>
      <c r="N128" s="117" t="str">
        <f ca="1">IF(L128="Total",SUM(N$6:N127)+0.0001,"")</f>
        <v/>
      </c>
      <c r="O128" s="75" t="str">
        <f ca="1">IF(L128="Total",SUM(O$6:O127)+0.0001,Calc!AH129)</f>
        <v/>
      </c>
      <c r="P128" s="167" t="str">
        <f t="shared" ca="1" si="4"/>
        <v/>
      </c>
      <c r="Q128" s="117" t="str">
        <f ca="1">IF(L128="Total",SUM(Q$6:Q127)+0.0001,"")</f>
        <v/>
      </c>
      <c r="V128">
        <v>3</v>
      </c>
      <c r="W128">
        <f t="shared" ca="1" si="6"/>
        <v>0</v>
      </c>
    </row>
    <row r="129" spans="1:23" ht="15">
      <c r="A129" s="123">
        <f>Calc!Y130</f>
        <v>0</v>
      </c>
      <c r="B129" s="122">
        <f>Calc!Z130</f>
        <v>0</v>
      </c>
      <c r="C129" s="122" t="str">
        <f ca="1">IF(Calc!AA130="Verlust","eventueller Gewinn",Calc!AA130)</f>
        <v/>
      </c>
      <c r="D129" s="117" t="str">
        <f ca="1">IF(C129="Total",SUM(D$6:D128)+0.0001,"")</f>
        <v/>
      </c>
      <c r="E129" s="117" t="str">
        <f ca="1">IF(C129="Total",SUM(E$6:E128)+0.0001,"")</f>
        <v/>
      </c>
      <c r="F129" s="75" t="str">
        <f ca="1">IF(C129="Total",SUM(F$5:F128)+0.0001,Calc!AB130)</f>
        <v/>
      </c>
      <c r="G129" s="167" t="str">
        <f t="shared" ca="1" si="5"/>
        <v/>
      </c>
      <c r="H129" s="173" t="str">
        <f ca="1">IF(C129="Total",SUM(H$6:H128)+0.0001,"")</f>
        <v/>
      </c>
      <c r="I129" s="178"/>
      <c r="J129" s="175">
        <f>Calc!AE130</f>
        <v>0</v>
      </c>
      <c r="K129" s="122">
        <f>Calc!AF130</f>
        <v>0</v>
      </c>
      <c r="L129" s="122" t="str">
        <f ca="1">IF(Calc!AG130="Gewinn","eventueller Verlust",Calc!AG130)</f>
        <v/>
      </c>
      <c r="M129" s="117" t="str">
        <f ca="1">IF(L129="Total",SUM(M$6:M128)+0.0001,"")</f>
        <v/>
      </c>
      <c r="N129" s="117" t="str">
        <f ca="1">IF(L129="Total",SUM(N$6:N128)+0.0001,"")</f>
        <v/>
      </c>
      <c r="O129" s="75" t="str">
        <f ca="1">IF(L129="Total",SUM(O$6:O128)+0.0001,Calc!AH130)</f>
        <v/>
      </c>
      <c r="P129" s="167" t="str">
        <f t="shared" ca="1" si="4"/>
        <v/>
      </c>
      <c r="Q129" s="117" t="str">
        <f ca="1">IF(L129="Total",SUM(Q$6:Q128)+0.0001,"")</f>
        <v/>
      </c>
      <c r="V129">
        <v>3</v>
      </c>
      <c r="W129">
        <f t="shared" ca="1" si="6"/>
        <v>0</v>
      </c>
    </row>
    <row r="130" spans="1:23" ht="15">
      <c r="A130" s="123">
        <f>Calc!Y131</f>
        <v>0</v>
      </c>
      <c r="B130" s="122">
        <f>Calc!Z131</f>
        <v>0</v>
      </c>
      <c r="C130" s="122" t="str">
        <f ca="1">IF(Calc!AA131="Verlust","eventueller Gewinn",Calc!AA131)</f>
        <v/>
      </c>
      <c r="D130" s="117" t="str">
        <f ca="1">IF(C130="Total",SUM(D$6:D129)+0.0001,"")</f>
        <v/>
      </c>
      <c r="E130" s="117" t="str">
        <f ca="1">IF(C130="Total",SUM(E$6:E129)+0.0001,"")</f>
        <v/>
      </c>
      <c r="F130" s="75" t="str">
        <f ca="1">IF(C130="Total",SUM(F$5:F129)+0.0001,Calc!AB131)</f>
        <v/>
      </c>
      <c r="G130" s="167" t="str">
        <f t="shared" ca="1" si="5"/>
        <v/>
      </c>
      <c r="H130" s="173" t="str">
        <f ca="1">IF(C130="Total",SUM(H$6:H129)+0.0001,"")</f>
        <v/>
      </c>
      <c r="I130" s="178"/>
      <c r="J130" s="175">
        <f>Calc!AE131</f>
        <v>0</v>
      </c>
      <c r="K130" s="122">
        <f>Calc!AF131</f>
        <v>0</v>
      </c>
      <c r="L130" s="122" t="str">
        <f ca="1">IF(Calc!AG131="Gewinn","eventueller Verlust",Calc!AG131)</f>
        <v/>
      </c>
      <c r="M130" s="117" t="str">
        <f ca="1">IF(L130="Total",SUM(M$6:M129)+0.0001,"")</f>
        <v/>
      </c>
      <c r="N130" s="117" t="str">
        <f ca="1">IF(L130="Total",SUM(N$6:N129)+0.0001,"")</f>
        <v/>
      </c>
      <c r="O130" s="75" t="str">
        <f ca="1">IF(L130="Total",SUM(O$6:O129)+0.0001,Calc!AH131)</f>
        <v/>
      </c>
      <c r="P130" s="167" t="str">
        <f t="shared" ca="1" si="4"/>
        <v/>
      </c>
      <c r="Q130" s="117" t="str">
        <f ca="1">IF(L130="Total",SUM(Q$6:Q129)+0.0001,"")</f>
        <v/>
      </c>
      <c r="V130">
        <v>3</v>
      </c>
      <c r="W130">
        <f t="shared" ca="1" si="6"/>
        <v>0</v>
      </c>
    </row>
    <row r="131" spans="1:23" ht="15">
      <c r="A131" s="123">
        <f>Calc!Y132</f>
        <v>0</v>
      </c>
      <c r="B131" s="122">
        <f>Calc!Z132</f>
        <v>0</v>
      </c>
      <c r="C131" s="122" t="str">
        <f ca="1">IF(Calc!AA132="Verlust","eventueller Gewinn",Calc!AA132)</f>
        <v/>
      </c>
      <c r="D131" s="117" t="str">
        <f ca="1">IF(C131="Total",SUM(D$6:D130)+0.0001,"")</f>
        <v/>
      </c>
      <c r="E131" s="117" t="str">
        <f ca="1">IF(C131="Total",SUM(E$6:E130)+0.0001,"")</f>
        <v/>
      </c>
      <c r="F131" s="75" t="str">
        <f ca="1">IF(C131="Total",SUM(F$5:F130)+0.0001,Calc!AB132)</f>
        <v/>
      </c>
      <c r="G131" s="167" t="str">
        <f t="shared" ca="1" si="5"/>
        <v/>
      </c>
      <c r="H131" s="173" t="str">
        <f ca="1">IF(C131="Total",SUM(H$6:H130)+0.0001,"")</f>
        <v/>
      </c>
      <c r="I131" s="178"/>
      <c r="J131" s="175">
        <f>Calc!AE132</f>
        <v>0</v>
      </c>
      <c r="K131" s="122">
        <f>Calc!AF132</f>
        <v>0</v>
      </c>
      <c r="L131" s="122" t="str">
        <f ca="1">IF(Calc!AG132="Gewinn","eventueller Verlust",Calc!AG132)</f>
        <v/>
      </c>
      <c r="M131" s="117" t="str">
        <f ca="1">IF(L131="Total",SUM(M$6:M130)+0.0001,"")</f>
        <v/>
      </c>
      <c r="N131" s="117" t="str">
        <f ca="1">IF(L131="Total",SUM(N$6:N130)+0.0001,"")</f>
        <v/>
      </c>
      <c r="O131" s="75" t="str">
        <f ca="1">IF(L131="Total",SUM(O$6:O130)+0.0001,Calc!AH132)</f>
        <v/>
      </c>
      <c r="P131" s="167" t="str">
        <f t="shared" ca="1" si="4"/>
        <v/>
      </c>
      <c r="Q131" s="117" t="str">
        <f ca="1">IF(L131="Total",SUM(Q$6:Q130)+0.0001,"")</f>
        <v/>
      </c>
      <c r="V131">
        <v>3</v>
      </c>
      <c r="W131">
        <f t="shared" ca="1" si="6"/>
        <v>0</v>
      </c>
    </row>
    <row r="132" spans="1:23" ht="15">
      <c r="A132" s="123">
        <f>Calc!Y133</f>
        <v>0</v>
      </c>
      <c r="B132" s="122">
        <f>Calc!Z133</f>
        <v>0</v>
      </c>
      <c r="C132" s="122" t="str">
        <f ca="1">IF(Calc!AA133="Verlust","eventueller Gewinn",Calc!AA133)</f>
        <v/>
      </c>
      <c r="D132" s="117" t="str">
        <f ca="1">IF(C132="Total",SUM(D$6:D131)+0.0001,"")</f>
        <v/>
      </c>
      <c r="E132" s="117" t="str">
        <f ca="1">IF(C132="Total",SUM(E$6:E131)+0.0001,"")</f>
        <v/>
      </c>
      <c r="F132" s="75" t="str">
        <f ca="1">IF(C132="Total",SUM(F$5:F131)+0.0001,Calc!AB133)</f>
        <v/>
      </c>
      <c r="G132" s="167" t="str">
        <f t="shared" ca="1" si="5"/>
        <v/>
      </c>
      <c r="H132" s="173" t="str">
        <f ca="1">IF(C132="Total",SUM(H$6:H131)+0.0001,"")</f>
        <v/>
      </c>
      <c r="I132" s="178"/>
      <c r="J132" s="175">
        <f>Calc!AE133</f>
        <v>0</v>
      </c>
      <c r="K132" s="122">
        <f>Calc!AF133</f>
        <v>0</v>
      </c>
      <c r="L132" s="122" t="str">
        <f ca="1">IF(Calc!AG133="Gewinn","eventueller Verlust",Calc!AG133)</f>
        <v/>
      </c>
      <c r="M132" s="117" t="str">
        <f ca="1">IF(L132="Total",SUM(M$6:M131)+0.0001,"")</f>
        <v/>
      </c>
      <c r="N132" s="117" t="str">
        <f ca="1">IF(L132="Total",SUM(N$6:N131)+0.0001,"")</f>
        <v/>
      </c>
      <c r="O132" s="75" t="str">
        <f ca="1">IF(L132="Total",SUM(O$6:O131)+0.0001,Calc!AH133)</f>
        <v/>
      </c>
      <c r="P132" s="167" t="str">
        <f t="shared" ca="1" si="4"/>
        <v/>
      </c>
      <c r="Q132" s="117" t="str">
        <f ca="1">IF(L132="Total",SUM(Q$6:Q131)+0.0001,"")</f>
        <v/>
      </c>
      <c r="V132">
        <v>3</v>
      </c>
      <c r="W132">
        <f t="shared" ca="1" si="6"/>
        <v>0</v>
      </c>
    </row>
    <row r="133" spans="1:23" ht="15">
      <c r="A133" s="123">
        <f>Calc!Y134</f>
        <v>0</v>
      </c>
      <c r="B133" s="122">
        <f>Calc!Z134</f>
        <v>0</v>
      </c>
      <c r="C133" s="122" t="str">
        <f ca="1">IF(Calc!AA134="Verlust","eventueller Gewinn",Calc!AA134)</f>
        <v/>
      </c>
      <c r="D133" s="117" t="str">
        <f ca="1">IF(C133="Total",SUM(D$6:D132)+0.0001,"")</f>
        <v/>
      </c>
      <c r="E133" s="117" t="str">
        <f ca="1">IF(C133="Total",SUM(E$6:E132)+0.0001,"")</f>
        <v/>
      </c>
      <c r="F133" s="75" t="str">
        <f ca="1">IF(C133="Total",SUM(F$5:F132)+0.0001,Calc!AB134)</f>
        <v/>
      </c>
      <c r="G133" s="167" t="str">
        <f t="shared" ca="1" si="5"/>
        <v/>
      </c>
      <c r="H133" s="173" t="str">
        <f ca="1">IF(C133="Total",SUM(H$6:H132)+0.0001,"")</f>
        <v/>
      </c>
      <c r="I133" s="178"/>
      <c r="J133" s="175">
        <f>Calc!AE134</f>
        <v>0</v>
      </c>
      <c r="K133" s="122">
        <f>Calc!AF134</f>
        <v>0</v>
      </c>
      <c r="L133" s="122" t="str">
        <f ca="1">IF(Calc!AG134="Gewinn","eventueller Verlust",Calc!AG134)</f>
        <v/>
      </c>
      <c r="M133" s="117" t="str">
        <f ca="1">IF(L133="Total",SUM(M$6:M132)+0.0001,"")</f>
        <v/>
      </c>
      <c r="N133" s="117" t="str">
        <f ca="1">IF(L133="Total",SUM(N$6:N132)+0.0001,"")</f>
        <v/>
      </c>
      <c r="O133" s="75" t="str">
        <f ca="1">IF(L133="Total",SUM(O$6:O132)+0.0001,Calc!AH134)</f>
        <v/>
      </c>
      <c r="P133" s="167" t="str">
        <f t="shared" ca="1" si="4"/>
        <v/>
      </c>
      <c r="Q133" s="117" t="str">
        <f ca="1">IF(L133="Total",SUM(Q$6:Q132)+0.0001,"")</f>
        <v/>
      </c>
      <c r="V133">
        <v>3</v>
      </c>
      <c r="W133">
        <f t="shared" ca="1" si="6"/>
        <v>0</v>
      </c>
    </row>
    <row r="134" spans="1:23" ht="15">
      <c r="A134" s="123">
        <f>Calc!Y135</f>
        <v>0</v>
      </c>
      <c r="B134" s="122">
        <f>Calc!Z135</f>
        <v>0</v>
      </c>
      <c r="C134" s="122" t="str">
        <f ca="1">IF(Calc!AA135="Verlust","eventueller Gewinn",Calc!AA135)</f>
        <v/>
      </c>
      <c r="D134" s="117" t="str">
        <f ca="1">IF(C134="Total",SUM(D$6:D133)+0.0001,"")</f>
        <v/>
      </c>
      <c r="E134" s="117" t="str">
        <f ca="1">IF(C134="Total",SUM(E$6:E133)+0.0001,"")</f>
        <v/>
      </c>
      <c r="F134" s="75" t="str">
        <f ca="1">IF(C134="Total",SUM(F$5:F133)+0.0001,Calc!AB135)</f>
        <v/>
      </c>
      <c r="G134" s="167" t="str">
        <f t="shared" ca="1" si="5"/>
        <v/>
      </c>
      <c r="H134" s="173" t="str">
        <f ca="1">IF(C134="Total",SUM(H$6:H133)+0.0001,"")</f>
        <v/>
      </c>
      <c r="I134" s="178"/>
      <c r="J134" s="175">
        <f>Calc!AE135</f>
        <v>0</v>
      </c>
      <c r="K134" s="122">
        <f>Calc!AF135</f>
        <v>0</v>
      </c>
      <c r="L134" s="122" t="str">
        <f ca="1">IF(Calc!AG135="Gewinn","eventueller Verlust",Calc!AG135)</f>
        <v/>
      </c>
      <c r="M134" s="117" t="str">
        <f ca="1">IF(L134="Total",SUM(M$6:M133)+0.0001,"")</f>
        <v/>
      </c>
      <c r="N134" s="117" t="str">
        <f ca="1">IF(L134="Total",SUM(N$6:N133)+0.0001,"")</f>
        <v/>
      </c>
      <c r="O134" s="75" t="str">
        <f ca="1">IF(L134="Total",SUM(O$6:O133)+0.0001,Calc!AH135)</f>
        <v/>
      </c>
      <c r="P134" s="167" t="str">
        <f t="shared" ref="P134:P197" ca="1" si="7">IF(N134&lt;&gt;"",(O134-N134)/N134,"")</f>
        <v/>
      </c>
      <c r="Q134" s="117" t="str">
        <f ca="1">IF(L134="Total",SUM(Q$6:Q133)+0.0001,"")</f>
        <v/>
      </c>
      <c r="V134">
        <v>3</v>
      </c>
      <c r="W134">
        <f t="shared" ca="1" si="6"/>
        <v>0</v>
      </c>
    </row>
    <row r="135" spans="1:23" ht="15">
      <c r="A135" s="123">
        <f>Calc!Y136</f>
        <v>0</v>
      </c>
      <c r="B135" s="122">
        <f>Calc!Z136</f>
        <v>0</v>
      </c>
      <c r="C135" s="122" t="str">
        <f ca="1">IF(Calc!AA136="Verlust","eventueller Gewinn",Calc!AA136)</f>
        <v/>
      </c>
      <c r="D135" s="117" t="str">
        <f ca="1">IF(C135="Total",SUM(D$6:D134)+0.0001,"")</f>
        <v/>
      </c>
      <c r="E135" s="117" t="str">
        <f ca="1">IF(C135="Total",SUM(E$6:E134)+0.0001,"")</f>
        <v/>
      </c>
      <c r="F135" s="75" t="str">
        <f ca="1">IF(C135="Total",SUM(F$5:F134)+0.0001,Calc!AB136)</f>
        <v/>
      </c>
      <c r="G135" s="167" t="str">
        <f t="shared" ref="G135:G198" ca="1" si="8">IF(E135&lt;&gt;"",(F135-E135)/E135,"")</f>
        <v/>
      </c>
      <c r="H135" s="173" t="str">
        <f ca="1">IF(C135="Total",SUM(H$6:H134)+0.0001,"")</f>
        <v/>
      </c>
      <c r="I135" s="178"/>
      <c r="J135" s="175">
        <f>Calc!AE136</f>
        <v>0</v>
      </c>
      <c r="K135" s="122">
        <f>Calc!AF136</f>
        <v>0</v>
      </c>
      <c r="L135" s="122" t="str">
        <f ca="1">IF(Calc!AG136="Gewinn","eventueller Verlust",Calc!AG136)</f>
        <v/>
      </c>
      <c r="M135" s="117" t="str">
        <f ca="1">IF(L135="Total",SUM(M$6:M134)+0.0001,"")</f>
        <v/>
      </c>
      <c r="N135" s="117" t="str">
        <f ca="1">IF(L135="Total",SUM(N$6:N134)+0.0001,"")</f>
        <v/>
      </c>
      <c r="O135" s="75" t="str">
        <f ca="1">IF(L135="Total",SUM(O$6:O134)+0.0001,Calc!AH136)</f>
        <v/>
      </c>
      <c r="P135" s="167" t="str">
        <f t="shared" ca="1" si="7"/>
        <v/>
      </c>
      <c r="Q135" s="117" t="str">
        <f ca="1">IF(L135="Total",SUM(Q$6:Q134)+0.0001,"")</f>
        <v/>
      </c>
      <c r="V135">
        <v>3</v>
      </c>
      <c r="W135">
        <f t="shared" ref="W135:W198" ca="1" si="9">IF(C135="Total",V135,0)</f>
        <v>0</v>
      </c>
    </row>
    <row r="136" spans="1:23" ht="15">
      <c r="A136" s="123">
        <f>Calc!Y137</f>
        <v>0</v>
      </c>
      <c r="B136" s="122">
        <f>Calc!Z137</f>
        <v>0</v>
      </c>
      <c r="C136" s="122" t="str">
        <f ca="1">IF(Calc!AA137="Verlust","eventueller Gewinn",Calc!AA137)</f>
        <v/>
      </c>
      <c r="D136" s="117" t="str">
        <f ca="1">IF(C136="Total",SUM(D$6:D135)+0.0001,"")</f>
        <v/>
      </c>
      <c r="E136" s="117" t="str">
        <f ca="1">IF(C136="Total",SUM(E$6:E135)+0.0001,"")</f>
        <v/>
      </c>
      <c r="F136" s="75" t="str">
        <f ca="1">IF(C136="Total",SUM(F$5:F135)+0.0001,Calc!AB137)</f>
        <v/>
      </c>
      <c r="G136" s="167" t="str">
        <f t="shared" ca="1" si="8"/>
        <v/>
      </c>
      <c r="H136" s="173" t="str">
        <f ca="1">IF(C136="Total",SUM(H$6:H135)+0.0001,"")</f>
        <v/>
      </c>
      <c r="I136" s="178"/>
      <c r="J136" s="175">
        <f>Calc!AE137</f>
        <v>0</v>
      </c>
      <c r="K136" s="122">
        <f>Calc!AF137</f>
        <v>0</v>
      </c>
      <c r="L136" s="122" t="str">
        <f ca="1">IF(Calc!AG137="Gewinn","eventueller Verlust",Calc!AG137)</f>
        <v/>
      </c>
      <c r="M136" s="117" t="str">
        <f ca="1">IF(L136="Total",SUM(M$6:M135)+0.0001,"")</f>
        <v/>
      </c>
      <c r="N136" s="117" t="str">
        <f ca="1">IF(L136="Total",SUM(N$6:N135)+0.0001,"")</f>
        <v/>
      </c>
      <c r="O136" s="75" t="str">
        <f ca="1">IF(L136="Total",SUM(O$6:O135)+0.0001,Calc!AH137)</f>
        <v/>
      </c>
      <c r="P136" s="167" t="str">
        <f t="shared" ca="1" si="7"/>
        <v/>
      </c>
      <c r="Q136" s="117" t="str">
        <f ca="1">IF(L136="Total",SUM(Q$6:Q135)+0.0001,"")</f>
        <v/>
      </c>
      <c r="V136">
        <v>3</v>
      </c>
      <c r="W136">
        <f t="shared" ca="1" si="9"/>
        <v>0</v>
      </c>
    </row>
    <row r="137" spans="1:23" ht="15">
      <c r="A137" s="123">
        <f>Calc!Y138</f>
        <v>0</v>
      </c>
      <c r="B137" s="122">
        <f>Calc!Z138</f>
        <v>0</v>
      </c>
      <c r="C137" s="122" t="str">
        <f ca="1">IF(Calc!AA138="Verlust","eventueller Gewinn",Calc!AA138)</f>
        <v/>
      </c>
      <c r="D137" s="117" t="str">
        <f ca="1">IF(C137="Total",SUM(D$6:D136)+0.0001,"")</f>
        <v/>
      </c>
      <c r="E137" s="117" t="str">
        <f ca="1">IF(C137="Total",SUM(E$6:E136)+0.0001,"")</f>
        <v/>
      </c>
      <c r="F137" s="75" t="str">
        <f ca="1">IF(C137="Total",SUM(F$5:F136)+0.0001,Calc!AB138)</f>
        <v/>
      </c>
      <c r="G137" s="167" t="str">
        <f t="shared" ca="1" si="8"/>
        <v/>
      </c>
      <c r="H137" s="173" t="str">
        <f ca="1">IF(C137="Total",SUM(H$6:H136)+0.0001,"")</f>
        <v/>
      </c>
      <c r="I137" s="178"/>
      <c r="J137" s="175">
        <f>Calc!AE138</f>
        <v>0</v>
      </c>
      <c r="K137" s="122">
        <f>Calc!AF138</f>
        <v>0</v>
      </c>
      <c r="L137" s="122" t="str">
        <f ca="1">IF(Calc!AG138="Gewinn","eventueller Verlust",Calc!AG138)</f>
        <v/>
      </c>
      <c r="M137" s="117" t="str">
        <f ca="1">IF(L137="Total",SUM(M$6:M136)+0.0001,"")</f>
        <v/>
      </c>
      <c r="N137" s="117" t="str">
        <f ca="1">IF(L137="Total",SUM(N$6:N136)+0.0001,"")</f>
        <v/>
      </c>
      <c r="O137" s="75" t="str">
        <f ca="1">IF(L137="Total",SUM(O$6:O136)+0.0001,Calc!AH138)</f>
        <v/>
      </c>
      <c r="P137" s="167" t="str">
        <f t="shared" ca="1" si="7"/>
        <v/>
      </c>
      <c r="Q137" s="117" t="str">
        <f ca="1">IF(L137="Total",SUM(Q$6:Q136)+0.0001,"")</f>
        <v/>
      </c>
      <c r="V137">
        <v>3</v>
      </c>
      <c r="W137">
        <f t="shared" ca="1" si="9"/>
        <v>0</v>
      </c>
    </row>
    <row r="138" spans="1:23" ht="15">
      <c r="A138" s="123">
        <f>Calc!Y139</f>
        <v>0</v>
      </c>
      <c r="B138" s="122">
        <f>Calc!Z139</f>
        <v>0</v>
      </c>
      <c r="C138" s="122" t="str">
        <f ca="1">IF(Calc!AA139="Verlust","eventueller Gewinn",Calc!AA139)</f>
        <v/>
      </c>
      <c r="D138" s="117" t="str">
        <f ca="1">IF(C138="Total",SUM(D$6:D137)+0.0001,"")</f>
        <v/>
      </c>
      <c r="E138" s="117" t="str">
        <f ca="1">IF(C138="Total",SUM(E$6:E137)+0.0001,"")</f>
        <v/>
      </c>
      <c r="F138" s="75" t="str">
        <f ca="1">IF(C138="Total",SUM(F$5:F137)+0.0001,Calc!AB139)</f>
        <v/>
      </c>
      <c r="G138" s="167" t="str">
        <f t="shared" ca="1" si="8"/>
        <v/>
      </c>
      <c r="H138" s="173" t="str">
        <f ca="1">IF(C138="Total",SUM(H$6:H137)+0.0001,"")</f>
        <v/>
      </c>
      <c r="I138" s="178"/>
      <c r="J138" s="175">
        <f>Calc!AE139</f>
        <v>0</v>
      </c>
      <c r="K138" s="122">
        <f>Calc!AF139</f>
        <v>0</v>
      </c>
      <c r="L138" s="122" t="str">
        <f ca="1">IF(Calc!AG139="Gewinn","eventueller Verlust",Calc!AG139)</f>
        <v/>
      </c>
      <c r="M138" s="117" t="str">
        <f ca="1">IF(L138="Total",SUM(M$6:M137)+0.0001,"")</f>
        <v/>
      </c>
      <c r="N138" s="117" t="str">
        <f ca="1">IF(L138="Total",SUM(N$6:N137)+0.0001,"")</f>
        <v/>
      </c>
      <c r="O138" s="75" t="str">
        <f ca="1">IF(L138="Total",SUM(O$6:O137)+0.0001,Calc!AH139)</f>
        <v/>
      </c>
      <c r="P138" s="167" t="str">
        <f t="shared" ca="1" si="7"/>
        <v/>
      </c>
      <c r="Q138" s="117" t="str">
        <f ca="1">IF(L138="Total",SUM(Q$6:Q137)+0.0001,"")</f>
        <v/>
      </c>
      <c r="V138">
        <v>3</v>
      </c>
      <c r="W138">
        <f t="shared" ca="1" si="9"/>
        <v>0</v>
      </c>
    </row>
    <row r="139" spans="1:23" ht="15">
      <c r="A139" s="123">
        <f>Calc!Y140</f>
        <v>0</v>
      </c>
      <c r="B139" s="122">
        <f>Calc!Z140</f>
        <v>0</v>
      </c>
      <c r="C139" s="122" t="str">
        <f ca="1">IF(Calc!AA140="Verlust","eventueller Gewinn",Calc!AA140)</f>
        <v/>
      </c>
      <c r="D139" s="117" t="str">
        <f ca="1">IF(C139="Total",SUM(D$6:D138)+0.0001,"")</f>
        <v/>
      </c>
      <c r="E139" s="117" t="str">
        <f ca="1">IF(C139="Total",SUM(E$6:E138)+0.0001,"")</f>
        <v/>
      </c>
      <c r="F139" s="75" t="str">
        <f ca="1">IF(C139="Total",SUM(F$5:F138)+0.0001,Calc!AB140)</f>
        <v/>
      </c>
      <c r="G139" s="167" t="str">
        <f t="shared" ca="1" si="8"/>
        <v/>
      </c>
      <c r="H139" s="173" t="str">
        <f ca="1">IF(C139="Total",SUM(H$6:H138)+0.0001,"")</f>
        <v/>
      </c>
      <c r="I139" s="178"/>
      <c r="J139" s="175">
        <f>Calc!AE140</f>
        <v>0</v>
      </c>
      <c r="K139" s="122">
        <f>Calc!AF140</f>
        <v>0</v>
      </c>
      <c r="L139" s="122" t="str">
        <f ca="1">IF(Calc!AG140="Gewinn","eventueller Verlust",Calc!AG140)</f>
        <v/>
      </c>
      <c r="M139" s="117" t="str">
        <f ca="1">IF(L139="Total",SUM(M$6:M138)+0.0001,"")</f>
        <v/>
      </c>
      <c r="N139" s="117" t="str">
        <f ca="1">IF(L139="Total",SUM(N$6:N138)+0.0001,"")</f>
        <v/>
      </c>
      <c r="O139" s="75" t="str">
        <f ca="1">IF(L139="Total",SUM(O$6:O138)+0.0001,Calc!AH140)</f>
        <v/>
      </c>
      <c r="P139" s="167" t="str">
        <f t="shared" ca="1" si="7"/>
        <v/>
      </c>
      <c r="Q139" s="117" t="str">
        <f ca="1">IF(L139="Total",SUM(Q$6:Q138)+0.0001,"")</f>
        <v/>
      </c>
      <c r="V139">
        <v>3</v>
      </c>
      <c r="W139">
        <f t="shared" ca="1" si="9"/>
        <v>0</v>
      </c>
    </row>
    <row r="140" spans="1:23" ht="15">
      <c r="A140" s="123">
        <f>Calc!Y141</f>
        <v>0</v>
      </c>
      <c r="B140" s="122">
        <f>Calc!Z141</f>
        <v>0</v>
      </c>
      <c r="C140" s="122" t="str">
        <f ca="1">IF(Calc!AA141="Verlust","eventueller Gewinn",Calc!AA141)</f>
        <v/>
      </c>
      <c r="D140" s="117" t="str">
        <f ca="1">IF(C140="Total",SUM(D$6:D139)+0.0001,"")</f>
        <v/>
      </c>
      <c r="E140" s="117" t="str">
        <f ca="1">IF(C140="Total",SUM(E$6:E139)+0.0001,"")</f>
        <v/>
      </c>
      <c r="F140" s="75" t="str">
        <f ca="1">IF(C140="Total",SUM(F$5:F139)+0.0001,Calc!AB141)</f>
        <v/>
      </c>
      <c r="G140" s="167" t="str">
        <f t="shared" ca="1" si="8"/>
        <v/>
      </c>
      <c r="H140" s="173" t="str">
        <f ca="1">IF(C140="Total",SUM(H$6:H139)+0.0001,"")</f>
        <v/>
      </c>
      <c r="I140" s="178"/>
      <c r="J140" s="175">
        <f>Calc!AE141</f>
        <v>0</v>
      </c>
      <c r="K140" s="122">
        <f>Calc!AF141</f>
        <v>0</v>
      </c>
      <c r="L140" s="122" t="str">
        <f ca="1">IF(Calc!AG141="Gewinn","eventueller Verlust",Calc!AG141)</f>
        <v/>
      </c>
      <c r="M140" s="117" t="str">
        <f ca="1">IF(L140="Total",SUM(M$6:M139)+0.0001,"")</f>
        <v/>
      </c>
      <c r="N140" s="117" t="str">
        <f ca="1">IF(L140="Total",SUM(N$6:N139)+0.0001,"")</f>
        <v/>
      </c>
      <c r="O140" s="75" t="str">
        <f ca="1">IF(L140="Total",SUM(O$6:O139)+0.0001,Calc!AH141)</f>
        <v/>
      </c>
      <c r="P140" s="167" t="str">
        <f t="shared" ca="1" si="7"/>
        <v/>
      </c>
      <c r="Q140" s="117" t="str">
        <f ca="1">IF(L140="Total",SUM(Q$6:Q139)+0.0001,"")</f>
        <v/>
      </c>
      <c r="V140">
        <v>3</v>
      </c>
      <c r="W140">
        <f t="shared" ca="1" si="9"/>
        <v>0</v>
      </c>
    </row>
    <row r="141" spans="1:23" ht="15">
      <c r="A141" s="123">
        <f>Calc!Y142</f>
        <v>0</v>
      </c>
      <c r="B141" s="122">
        <f>Calc!Z142</f>
        <v>0</v>
      </c>
      <c r="C141" s="122" t="str">
        <f ca="1">IF(Calc!AA142="Verlust","eventueller Gewinn",Calc!AA142)</f>
        <v/>
      </c>
      <c r="D141" s="117" t="str">
        <f ca="1">IF(C141="Total",SUM(D$6:D140)+0.0001,"")</f>
        <v/>
      </c>
      <c r="E141" s="117" t="str">
        <f ca="1">IF(C141="Total",SUM(E$6:E140)+0.0001,"")</f>
        <v/>
      </c>
      <c r="F141" s="75" t="str">
        <f ca="1">IF(C141="Total",SUM(F$5:F140)+0.0001,Calc!AB142)</f>
        <v/>
      </c>
      <c r="G141" s="167" t="str">
        <f t="shared" ca="1" si="8"/>
        <v/>
      </c>
      <c r="H141" s="173" t="str">
        <f ca="1">IF(C141="Total",SUM(H$6:H140)+0.0001,"")</f>
        <v/>
      </c>
      <c r="I141" s="178"/>
      <c r="J141" s="175">
        <f>Calc!AE142</f>
        <v>0</v>
      </c>
      <c r="K141" s="122">
        <f>Calc!AF142</f>
        <v>0</v>
      </c>
      <c r="L141" s="122" t="str">
        <f ca="1">IF(Calc!AG142="Gewinn","eventueller Verlust",Calc!AG142)</f>
        <v/>
      </c>
      <c r="M141" s="117" t="str">
        <f ca="1">IF(L141="Total",SUM(M$6:M140)+0.0001,"")</f>
        <v/>
      </c>
      <c r="N141" s="117" t="str">
        <f ca="1">IF(L141="Total",SUM(N$6:N140)+0.0001,"")</f>
        <v/>
      </c>
      <c r="O141" s="75" t="str">
        <f ca="1">IF(L141="Total",SUM(O$6:O140)+0.0001,Calc!AH142)</f>
        <v/>
      </c>
      <c r="P141" s="167" t="str">
        <f t="shared" ca="1" si="7"/>
        <v/>
      </c>
      <c r="Q141" s="117" t="str">
        <f ca="1">IF(L141="Total",SUM(Q$6:Q140)+0.0001,"")</f>
        <v/>
      </c>
      <c r="V141">
        <v>3</v>
      </c>
      <c r="W141">
        <f t="shared" ca="1" si="9"/>
        <v>0</v>
      </c>
    </row>
    <row r="142" spans="1:23" ht="15">
      <c r="A142" s="123">
        <f>Calc!Y143</f>
        <v>0</v>
      </c>
      <c r="B142" s="122">
        <f>Calc!Z143</f>
        <v>0</v>
      </c>
      <c r="C142" s="122" t="str">
        <f ca="1">IF(Calc!AA143="Verlust","eventueller Gewinn",Calc!AA143)</f>
        <v/>
      </c>
      <c r="D142" s="117" t="str">
        <f ca="1">IF(C142="Total",SUM(D$6:D141)+0.0001,"")</f>
        <v/>
      </c>
      <c r="E142" s="117" t="str">
        <f ca="1">IF(C142="Total",SUM(E$6:E141)+0.0001,"")</f>
        <v/>
      </c>
      <c r="F142" s="75" t="str">
        <f ca="1">IF(C142="Total",SUM(F$5:F141)+0.0001,Calc!AB143)</f>
        <v/>
      </c>
      <c r="G142" s="167" t="str">
        <f t="shared" ca="1" si="8"/>
        <v/>
      </c>
      <c r="H142" s="173" t="str">
        <f ca="1">IF(C142="Total",SUM(H$6:H141)+0.0001,"")</f>
        <v/>
      </c>
      <c r="I142" s="178"/>
      <c r="J142" s="175">
        <f>Calc!AE143</f>
        <v>0</v>
      </c>
      <c r="K142" s="122">
        <f>Calc!AF143</f>
        <v>0</v>
      </c>
      <c r="L142" s="122" t="str">
        <f ca="1">IF(Calc!AG143="Gewinn","eventueller Verlust",Calc!AG143)</f>
        <v/>
      </c>
      <c r="M142" s="117" t="str">
        <f ca="1">IF(L142="Total",SUM(M$6:M141)+0.0001,"")</f>
        <v/>
      </c>
      <c r="N142" s="117" t="str">
        <f ca="1">IF(L142="Total",SUM(N$6:N141)+0.0001,"")</f>
        <v/>
      </c>
      <c r="O142" s="75" t="str">
        <f ca="1">IF(L142="Total",SUM(O$6:O141)+0.0001,Calc!AH143)</f>
        <v/>
      </c>
      <c r="P142" s="167" t="str">
        <f t="shared" ca="1" si="7"/>
        <v/>
      </c>
      <c r="Q142" s="117" t="str">
        <f ca="1">IF(L142="Total",SUM(Q$6:Q141)+0.0001,"")</f>
        <v/>
      </c>
      <c r="V142">
        <v>3</v>
      </c>
      <c r="W142">
        <f t="shared" ca="1" si="9"/>
        <v>0</v>
      </c>
    </row>
    <row r="143" spans="1:23" ht="15">
      <c r="A143" s="123">
        <f>Calc!Y144</f>
        <v>0</v>
      </c>
      <c r="B143" s="122">
        <f>Calc!Z144</f>
        <v>0</v>
      </c>
      <c r="C143" s="122" t="str">
        <f ca="1">IF(Calc!AA144="Verlust","eventueller Gewinn",Calc!AA144)</f>
        <v/>
      </c>
      <c r="D143" s="117" t="str">
        <f ca="1">IF(C143="Total",SUM(D$6:D142)+0.0001,"")</f>
        <v/>
      </c>
      <c r="E143" s="117" t="str">
        <f ca="1">IF(C143="Total",SUM(E$6:E142)+0.0001,"")</f>
        <v/>
      </c>
      <c r="F143" s="75" t="str">
        <f ca="1">IF(C143="Total",SUM(F$5:F142)+0.0001,Calc!AB144)</f>
        <v/>
      </c>
      <c r="G143" s="167" t="str">
        <f t="shared" ca="1" si="8"/>
        <v/>
      </c>
      <c r="H143" s="173" t="str">
        <f ca="1">IF(C143="Total",SUM(H$6:H142)+0.0001,"")</f>
        <v/>
      </c>
      <c r="I143" s="178"/>
      <c r="J143" s="175">
        <f>Calc!AE144</f>
        <v>0</v>
      </c>
      <c r="K143" s="122">
        <f>Calc!AF144</f>
        <v>0</v>
      </c>
      <c r="L143" s="122" t="str">
        <f ca="1">IF(Calc!AG144="Gewinn","eventueller Verlust",Calc!AG144)</f>
        <v/>
      </c>
      <c r="M143" s="117" t="str">
        <f ca="1">IF(L143="Total",SUM(M$6:M142)+0.0001,"")</f>
        <v/>
      </c>
      <c r="N143" s="117" t="str">
        <f ca="1">IF(L143="Total",SUM(N$6:N142)+0.0001,"")</f>
        <v/>
      </c>
      <c r="O143" s="75" t="str">
        <f ca="1">IF(L143="Total",SUM(O$6:O142)+0.0001,Calc!AH144)</f>
        <v/>
      </c>
      <c r="P143" s="167" t="str">
        <f t="shared" ca="1" si="7"/>
        <v/>
      </c>
      <c r="Q143" s="117" t="str">
        <f ca="1">IF(L143="Total",SUM(Q$6:Q142)+0.0001,"")</f>
        <v/>
      </c>
      <c r="V143">
        <v>3</v>
      </c>
      <c r="W143">
        <f t="shared" ca="1" si="9"/>
        <v>0</v>
      </c>
    </row>
    <row r="144" spans="1:23" ht="15">
      <c r="A144" s="123">
        <f>Calc!Y145</f>
        <v>0</v>
      </c>
      <c r="B144" s="122">
        <f>Calc!Z145</f>
        <v>0</v>
      </c>
      <c r="C144" s="122" t="str">
        <f ca="1">IF(Calc!AA145="Verlust","eventueller Gewinn",Calc!AA145)</f>
        <v/>
      </c>
      <c r="D144" s="117" t="str">
        <f ca="1">IF(C144="Total",SUM(D$6:D143)+0.0001,"")</f>
        <v/>
      </c>
      <c r="E144" s="117" t="str">
        <f ca="1">IF(C144="Total",SUM(E$6:E143)+0.0001,"")</f>
        <v/>
      </c>
      <c r="F144" s="75" t="str">
        <f ca="1">IF(C144="Total",SUM(F$5:F143)+0.0001,Calc!AB145)</f>
        <v/>
      </c>
      <c r="G144" s="167" t="str">
        <f t="shared" ca="1" si="8"/>
        <v/>
      </c>
      <c r="H144" s="173" t="str">
        <f ca="1">IF(C144="Total",SUM(H$6:H143)+0.0001,"")</f>
        <v/>
      </c>
      <c r="I144" s="178"/>
      <c r="J144" s="175">
        <f>Calc!AE145</f>
        <v>0</v>
      </c>
      <c r="K144" s="122">
        <f>Calc!AF145</f>
        <v>0</v>
      </c>
      <c r="L144" s="122" t="str">
        <f ca="1">IF(Calc!AG145="Gewinn","eventueller Verlust",Calc!AG145)</f>
        <v/>
      </c>
      <c r="M144" s="117" t="str">
        <f ca="1">IF(L144="Total",SUM(M$6:M143)+0.0001,"")</f>
        <v/>
      </c>
      <c r="N144" s="117" t="str">
        <f ca="1">IF(L144="Total",SUM(N$6:N143)+0.0001,"")</f>
        <v/>
      </c>
      <c r="O144" s="75" t="str">
        <f ca="1">IF(L144="Total",SUM(O$6:O143)+0.0001,Calc!AH145)</f>
        <v/>
      </c>
      <c r="P144" s="167" t="str">
        <f t="shared" ca="1" si="7"/>
        <v/>
      </c>
      <c r="Q144" s="117" t="str">
        <f ca="1">IF(L144="Total",SUM(Q$6:Q143)+0.0001,"")</f>
        <v/>
      </c>
      <c r="V144">
        <v>3</v>
      </c>
      <c r="W144">
        <f t="shared" ca="1" si="9"/>
        <v>0</v>
      </c>
    </row>
    <row r="145" spans="1:23" ht="15">
      <c r="A145" s="123">
        <f>Calc!Y146</f>
        <v>0</v>
      </c>
      <c r="B145" s="122">
        <f>Calc!Z146</f>
        <v>0</v>
      </c>
      <c r="C145" s="122" t="str">
        <f ca="1">IF(Calc!AA146="Verlust","eventueller Gewinn",Calc!AA146)</f>
        <v/>
      </c>
      <c r="D145" s="117" t="str">
        <f ca="1">IF(C145="Total",SUM(D$6:D144)+0.0001,"")</f>
        <v/>
      </c>
      <c r="E145" s="117" t="str">
        <f ca="1">IF(C145="Total",SUM(E$6:E144)+0.0001,"")</f>
        <v/>
      </c>
      <c r="F145" s="75" t="str">
        <f ca="1">IF(C145="Total",SUM(F$5:F144)+0.0001,Calc!AB146)</f>
        <v/>
      </c>
      <c r="G145" s="167" t="str">
        <f t="shared" ca="1" si="8"/>
        <v/>
      </c>
      <c r="H145" s="173" t="str">
        <f ca="1">IF(C145="Total",SUM(H$6:H144)+0.0001,"")</f>
        <v/>
      </c>
      <c r="I145" s="178"/>
      <c r="J145" s="175">
        <f>Calc!AE146</f>
        <v>0</v>
      </c>
      <c r="K145" s="122">
        <f>Calc!AF146</f>
        <v>0</v>
      </c>
      <c r="L145" s="122" t="str">
        <f ca="1">IF(Calc!AG146="Gewinn","eventueller Verlust",Calc!AG146)</f>
        <v/>
      </c>
      <c r="M145" s="117" t="str">
        <f ca="1">IF(L145="Total",SUM(M$6:M144)+0.0001,"")</f>
        <v/>
      </c>
      <c r="N145" s="117" t="str">
        <f ca="1">IF(L145="Total",SUM(N$6:N144)+0.0001,"")</f>
        <v/>
      </c>
      <c r="O145" s="75" t="str">
        <f ca="1">IF(L145="Total",SUM(O$6:O144)+0.0001,Calc!AH146)</f>
        <v/>
      </c>
      <c r="P145" s="167" t="str">
        <f t="shared" ca="1" si="7"/>
        <v/>
      </c>
      <c r="Q145" s="117" t="str">
        <f ca="1">IF(L145="Total",SUM(Q$6:Q144)+0.0001,"")</f>
        <v/>
      </c>
      <c r="V145">
        <v>3</v>
      </c>
      <c r="W145">
        <f t="shared" ca="1" si="9"/>
        <v>0</v>
      </c>
    </row>
    <row r="146" spans="1:23" ht="15">
      <c r="A146" s="123">
        <f>Calc!Y147</f>
        <v>0</v>
      </c>
      <c r="B146" s="122">
        <f>Calc!Z147</f>
        <v>0</v>
      </c>
      <c r="C146" s="122" t="str">
        <f ca="1">IF(Calc!AA147="Verlust","eventueller Gewinn",Calc!AA147)</f>
        <v/>
      </c>
      <c r="D146" s="117" t="str">
        <f ca="1">IF(C146="Total",SUM(D$6:D145)+0.0001,"")</f>
        <v/>
      </c>
      <c r="E146" s="117" t="str">
        <f ca="1">IF(C146="Total",SUM(E$6:E145)+0.0001,"")</f>
        <v/>
      </c>
      <c r="F146" s="75" t="str">
        <f ca="1">IF(C146="Total",SUM(F$5:F145)+0.0001,Calc!AB147)</f>
        <v/>
      </c>
      <c r="G146" s="167" t="str">
        <f t="shared" ca="1" si="8"/>
        <v/>
      </c>
      <c r="H146" s="173" t="str">
        <f ca="1">IF(C146="Total",SUM(H$6:H145)+0.0001,"")</f>
        <v/>
      </c>
      <c r="I146" s="178"/>
      <c r="J146" s="175">
        <f>Calc!AE147</f>
        <v>0</v>
      </c>
      <c r="K146" s="122">
        <f>Calc!AF147</f>
        <v>0</v>
      </c>
      <c r="L146" s="122" t="str">
        <f ca="1">IF(Calc!AG147="Gewinn","eventueller Verlust",Calc!AG147)</f>
        <v/>
      </c>
      <c r="M146" s="117" t="str">
        <f ca="1">IF(L146="Total",SUM(M$6:M145)+0.0001,"")</f>
        <v/>
      </c>
      <c r="N146" s="117" t="str">
        <f ca="1">IF(L146="Total",SUM(N$6:N145)+0.0001,"")</f>
        <v/>
      </c>
      <c r="O146" s="75" t="str">
        <f ca="1">IF(L146="Total",SUM(O$6:O145)+0.0001,Calc!AH147)</f>
        <v/>
      </c>
      <c r="P146" s="167" t="str">
        <f t="shared" ca="1" si="7"/>
        <v/>
      </c>
      <c r="Q146" s="117" t="str">
        <f ca="1">IF(L146="Total",SUM(Q$6:Q145)+0.0001,"")</f>
        <v/>
      </c>
      <c r="V146">
        <v>3</v>
      </c>
      <c r="W146">
        <f t="shared" ca="1" si="9"/>
        <v>0</v>
      </c>
    </row>
    <row r="147" spans="1:23" ht="15">
      <c r="A147" s="123">
        <f>Calc!Y148</f>
        <v>0</v>
      </c>
      <c r="B147" s="122">
        <f>Calc!Z148</f>
        <v>0</v>
      </c>
      <c r="C147" s="122" t="str">
        <f ca="1">IF(Calc!AA148="Verlust","eventueller Gewinn",Calc!AA148)</f>
        <v/>
      </c>
      <c r="D147" s="117" t="str">
        <f ca="1">IF(C147="Total",SUM(D$6:D146)+0.0001,"")</f>
        <v/>
      </c>
      <c r="E147" s="117" t="str">
        <f ca="1">IF(C147="Total",SUM(E$6:E146)+0.0001,"")</f>
        <v/>
      </c>
      <c r="F147" s="75" t="str">
        <f ca="1">IF(C147="Total",SUM(F$5:F146)+0.0001,Calc!AB148)</f>
        <v/>
      </c>
      <c r="G147" s="167" t="str">
        <f t="shared" ca="1" si="8"/>
        <v/>
      </c>
      <c r="H147" s="173" t="str">
        <f ca="1">IF(C147="Total",SUM(H$6:H146)+0.0001,"")</f>
        <v/>
      </c>
      <c r="I147" s="178"/>
      <c r="J147" s="175">
        <f>Calc!AE148</f>
        <v>0</v>
      </c>
      <c r="K147" s="122">
        <f>Calc!AF148</f>
        <v>0</v>
      </c>
      <c r="L147" s="122" t="str">
        <f ca="1">IF(Calc!AG148="Gewinn","eventueller Verlust",Calc!AG148)</f>
        <v/>
      </c>
      <c r="M147" s="117" t="str">
        <f ca="1">IF(L147="Total",SUM(M$6:M146)+0.0001,"")</f>
        <v/>
      </c>
      <c r="N147" s="117" t="str">
        <f ca="1">IF(L147="Total",SUM(N$6:N146)+0.0001,"")</f>
        <v/>
      </c>
      <c r="O147" s="75" t="str">
        <f ca="1">IF(L147="Total",SUM(O$6:O146)+0.0001,Calc!AH148)</f>
        <v/>
      </c>
      <c r="P147" s="167" t="str">
        <f t="shared" ca="1" si="7"/>
        <v/>
      </c>
      <c r="Q147" s="117" t="str">
        <f ca="1">IF(L147="Total",SUM(Q$6:Q146)+0.0001,"")</f>
        <v/>
      </c>
      <c r="V147">
        <v>3</v>
      </c>
      <c r="W147">
        <f t="shared" ca="1" si="9"/>
        <v>0</v>
      </c>
    </row>
    <row r="148" spans="1:23" ht="15">
      <c r="A148" s="123">
        <f>Calc!Y149</f>
        <v>0</v>
      </c>
      <c r="B148" s="122">
        <f>Calc!Z149</f>
        <v>0</v>
      </c>
      <c r="C148" s="122" t="str">
        <f ca="1">IF(Calc!AA149="Verlust","eventueller Gewinn",Calc!AA149)</f>
        <v/>
      </c>
      <c r="D148" s="117" t="str">
        <f ca="1">IF(C148="Total",SUM(D$6:D147)+0.0001,"")</f>
        <v/>
      </c>
      <c r="E148" s="117" t="str">
        <f ca="1">IF(C148="Total",SUM(E$6:E147)+0.0001,"")</f>
        <v/>
      </c>
      <c r="F148" s="75" t="str">
        <f ca="1">IF(C148="Total",SUM(F$5:F147)+0.0001,Calc!AB149)</f>
        <v/>
      </c>
      <c r="G148" s="167" t="str">
        <f t="shared" ca="1" si="8"/>
        <v/>
      </c>
      <c r="H148" s="173" t="str">
        <f ca="1">IF(C148="Total",SUM(H$6:H147)+0.0001,"")</f>
        <v/>
      </c>
      <c r="I148" s="178"/>
      <c r="J148" s="175">
        <f>Calc!AE149</f>
        <v>0</v>
      </c>
      <c r="K148" s="122">
        <f>Calc!AF149</f>
        <v>0</v>
      </c>
      <c r="L148" s="122" t="str">
        <f ca="1">IF(Calc!AG149="Gewinn","eventueller Verlust",Calc!AG149)</f>
        <v/>
      </c>
      <c r="M148" s="117" t="str">
        <f ca="1">IF(L148="Total",SUM(M$6:M147)+0.0001,"")</f>
        <v/>
      </c>
      <c r="N148" s="117" t="str">
        <f ca="1">IF(L148="Total",SUM(N$6:N147)+0.0001,"")</f>
        <v/>
      </c>
      <c r="O148" s="75" t="str">
        <f ca="1">IF(L148="Total",SUM(O$6:O147)+0.0001,Calc!AH149)</f>
        <v/>
      </c>
      <c r="P148" s="167" t="str">
        <f t="shared" ca="1" si="7"/>
        <v/>
      </c>
      <c r="Q148" s="117" t="str">
        <f ca="1">IF(L148="Total",SUM(Q$6:Q147)+0.0001,"")</f>
        <v/>
      </c>
      <c r="V148">
        <v>3</v>
      </c>
      <c r="W148">
        <f t="shared" ca="1" si="9"/>
        <v>0</v>
      </c>
    </row>
    <row r="149" spans="1:23" ht="15">
      <c r="A149" s="123">
        <f>Calc!Y150</f>
        <v>0</v>
      </c>
      <c r="B149" s="122">
        <f>Calc!Z150</f>
        <v>0</v>
      </c>
      <c r="C149" s="122" t="str">
        <f ca="1">IF(Calc!AA150="Verlust","eventueller Gewinn",Calc!AA150)</f>
        <v/>
      </c>
      <c r="D149" s="117" t="str">
        <f ca="1">IF(C149="Total",SUM(D$6:D148)+0.0001,"")</f>
        <v/>
      </c>
      <c r="E149" s="117" t="str">
        <f ca="1">IF(C149="Total",SUM(E$6:E148)+0.0001,"")</f>
        <v/>
      </c>
      <c r="F149" s="75" t="str">
        <f ca="1">IF(C149="Total",SUM(F$5:F148)+0.0001,Calc!AB150)</f>
        <v/>
      </c>
      <c r="G149" s="167" t="str">
        <f t="shared" ca="1" si="8"/>
        <v/>
      </c>
      <c r="H149" s="173" t="str">
        <f ca="1">IF(C149="Total",SUM(H$6:H148)+0.0001,"")</f>
        <v/>
      </c>
      <c r="I149" s="178"/>
      <c r="J149" s="175">
        <f>Calc!AE150</f>
        <v>0</v>
      </c>
      <c r="K149" s="122">
        <f>Calc!AF150</f>
        <v>0</v>
      </c>
      <c r="L149" s="122" t="str">
        <f ca="1">IF(Calc!AG150="Gewinn","eventueller Verlust",Calc!AG150)</f>
        <v/>
      </c>
      <c r="M149" s="117" t="str">
        <f ca="1">IF(L149="Total",SUM(M$6:M148)+0.0001,"")</f>
        <v/>
      </c>
      <c r="N149" s="117" t="str">
        <f ca="1">IF(L149="Total",SUM(N$6:N148)+0.0001,"")</f>
        <v/>
      </c>
      <c r="O149" s="75" t="str">
        <f ca="1">IF(L149="Total",SUM(O$6:O148)+0.0001,Calc!AH150)</f>
        <v/>
      </c>
      <c r="P149" s="167" t="str">
        <f t="shared" ca="1" si="7"/>
        <v/>
      </c>
      <c r="Q149" s="117" t="str">
        <f ca="1">IF(L149="Total",SUM(Q$6:Q148)+0.0001,"")</f>
        <v/>
      </c>
      <c r="V149">
        <v>3</v>
      </c>
      <c r="W149">
        <f t="shared" ca="1" si="9"/>
        <v>0</v>
      </c>
    </row>
    <row r="150" spans="1:23" ht="15">
      <c r="A150" s="123">
        <f>Calc!Y151</f>
        <v>0</v>
      </c>
      <c r="B150" s="122">
        <f>Calc!Z151</f>
        <v>0</v>
      </c>
      <c r="C150" s="122" t="str">
        <f ca="1">IF(Calc!AA151="Verlust","eventueller Gewinn",Calc!AA151)</f>
        <v/>
      </c>
      <c r="D150" s="117" t="str">
        <f ca="1">IF(C150="Total",SUM(D$6:D149)+0.0001,"")</f>
        <v/>
      </c>
      <c r="E150" s="117" t="str">
        <f ca="1">IF(C150="Total",SUM(E$6:E149)+0.0001,"")</f>
        <v/>
      </c>
      <c r="F150" s="75" t="str">
        <f ca="1">IF(C150="Total",SUM(F$5:F149)+0.0001,Calc!AB151)</f>
        <v/>
      </c>
      <c r="G150" s="167" t="str">
        <f t="shared" ca="1" si="8"/>
        <v/>
      </c>
      <c r="H150" s="173" t="str">
        <f ca="1">IF(C150="Total",SUM(H$6:H149)+0.0001,"")</f>
        <v/>
      </c>
      <c r="I150" s="178"/>
      <c r="J150" s="175">
        <f>Calc!AE151</f>
        <v>0</v>
      </c>
      <c r="K150" s="122">
        <f>Calc!AF151</f>
        <v>0</v>
      </c>
      <c r="L150" s="122" t="str">
        <f ca="1">IF(Calc!AG151="Gewinn","eventueller Verlust",Calc!AG151)</f>
        <v/>
      </c>
      <c r="M150" s="117" t="str">
        <f ca="1">IF(L150="Total",SUM(M$6:M149)+0.0001,"")</f>
        <v/>
      </c>
      <c r="N150" s="117" t="str">
        <f ca="1">IF(L150="Total",SUM(N$6:N149)+0.0001,"")</f>
        <v/>
      </c>
      <c r="O150" s="75" t="str">
        <f ca="1">IF(L150="Total",SUM(O$6:O149)+0.0001,Calc!AH151)</f>
        <v/>
      </c>
      <c r="P150" s="167" t="str">
        <f t="shared" ca="1" si="7"/>
        <v/>
      </c>
      <c r="Q150" s="117" t="str">
        <f ca="1">IF(L150="Total",SUM(Q$6:Q149)+0.0001,"")</f>
        <v/>
      </c>
      <c r="V150">
        <v>3</v>
      </c>
      <c r="W150">
        <f t="shared" ca="1" si="9"/>
        <v>0</v>
      </c>
    </row>
    <row r="151" spans="1:23" ht="15">
      <c r="A151" s="123">
        <f>Calc!Y152</f>
        <v>0</v>
      </c>
      <c r="B151" s="122">
        <f>Calc!Z152</f>
        <v>0</v>
      </c>
      <c r="C151" s="122" t="str">
        <f ca="1">IF(Calc!AA152="Verlust","eventueller Gewinn",Calc!AA152)</f>
        <v/>
      </c>
      <c r="D151" s="117" t="str">
        <f ca="1">IF(C151="Total",SUM(D$6:D150)+0.0001,"")</f>
        <v/>
      </c>
      <c r="E151" s="117" t="str">
        <f ca="1">IF(C151="Total",SUM(E$6:E150)+0.0001,"")</f>
        <v/>
      </c>
      <c r="F151" s="75" t="str">
        <f ca="1">IF(C151="Total",SUM(F$5:F150)+0.0001,Calc!AB152)</f>
        <v/>
      </c>
      <c r="G151" s="167" t="str">
        <f t="shared" ca="1" si="8"/>
        <v/>
      </c>
      <c r="H151" s="173" t="str">
        <f ca="1">IF(C151="Total",SUM(H$6:H150)+0.0001,"")</f>
        <v/>
      </c>
      <c r="I151" s="178"/>
      <c r="J151" s="175">
        <f>Calc!AE152</f>
        <v>0</v>
      </c>
      <c r="K151" s="122">
        <f>Calc!AF152</f>
        <v>0</v>
      </c>
      <c r="L151" s="122" t="str">
        <f ca="1">IF(Calc!AG152="Gewinn","eventueller Verlust",Calc!AG152)</f>
        <v/>
      </c>
      <c r="M151" s="117" t="str">
        <f ca="1">IF(L151="Total",SUM(M$6:M150)+0.0001,"")</f>
        <v/>
      </c>
      <c r="N151" s="117" t="str">
        <f ca="1">IF(L151="Total",SUM(N$6:N150)+0.0001,"")</f>
        <v/>
      </c>
      <c r="O151" s="75" t="str">
        <f ca="1">IF(L151="Total",SUM(O$6:O150)+0.0001,Calc!AH152)</f>
        <v/>
      </c>
      <c r="P151" s="167" t="str">
        <f t="shared" ca="1" si="7"/>
        <v/>
      </c>
      <c r="Q151" s="117" t="str">
        <f ca="1">IF(L151="Total",SUM(Q$6:Q150)+0.0001,"")</f>
        <v/>
      </c>
      <c r="V151">
        <v>3</v>
      </c>
      <c r="W151">
        <f t="shared" ca="1" si="9"/>
        <v>0</v>
      </c>
    </row>
    <row r="152" spans="1:23" ht="15">
      <c r="A152" s="123">
        <f>Calc!Y153</f>
        <v>0</v>
      </c>
      <c r="B152" s="122">
        <f>Calc!Z153</f>
        <v>0</v>
      </c>
      <c r="C152" s="122" t="str">
        <f ca="1">IF(Calc!AA153="Verlust","eventueller Gewinn",Calc!AA153)</f>
        <v/>
      </c>
      <c r="D152" s="117" t="str">
        <f ca="1">IF(C152="Total",SUM(D$6:D151)+0.0001,"")</f>
        <v/>
      </c>
      <c r="E152" s="117" t="str">
        <f ca="1">IF(C152="Total",SUM(E$6:E151)+0.0001,"")</f>
        <v/>
      </c>
      <c r="F152" s="75" t="str">
        <f ca="1">IF(C152="Total",SUM(F$5:F151)+0.0001,Calc!AB153)</f>
        <v/>
      </c>
      <c r="G152" s="167" t="str">
        <f t="shared" ca="1" si="8"/>
        <v/>
      </c>
      <c r="H152" s="173" t="str">
        <f ca="1">IF(C152="Total",SUM(H$6:H151)+0.0001,"")</f>
        <v/>
      </c>
      <c r="I152" s="178"/>
      <c r="J152" s="175">
        <f>Calc!AE153</f>
        <v>0</v>
      </c>
      <c r="K152" s="122">
        <f>Calc!AF153</f>
        <v>0</v>
      </c>
      <c r="L152" s="122" t="str">
        <f ca="1">IF(Calc!AG153="Gewinn","eventueller Verlust",Calc!AG153)</f>
        <v/>
      </c>
      <c r="M152" s="117" t="str">
        <f ca="1">IF(L152="Total",SUM(M$6:M151)+0.0001,"")</f>
        <v/>
      </c>
      <c r="N152" s="117" t="str">
        <f ca="1">IF(L152="Total",SUM(N$6:N151)+0.0001,"")</f>
        <v/>
      </c>
      <c r="O152" s="75" t="str">
        <f ca="1">IF(L152="Total",SUM(O$6:O151)+0.0001,Calc!AH153)</f>
        <v/>
      </c>
      <c r="P152" s="167" t="str">
        <f t="shared" ca="1" si="7"/>
        <v/>
      </c>
      <c r="Q152" s="117" t="str">
        <f ca="1">IF(L152="Total",SUM(Q$6:Q151)+0.0001,"")</f>
        <v/>
      </c>
      <c r="V152">
        <v>3</v>
      </c>
      <c r="W152">
        <f t="shared" ca="1" si="9"/>
        <v>0</v>
      </c>
    </row>
    <row r="153" spans="1:23" ht="15">
      <c r="A153" s="123">
        <f>Calc!Y154</f>
        <v>0</v>
      </c>
      <c r="B153" s="122">
        <f>Calc!Z154</f>
        <v>0</v>
      </c>
      <c r="C153" s="122" t="str">
        <f ca="1">IF(Calc!AA154="Verlust","eventueller Gewinn",Calc!AA154)</f>
        <v/>
      </c>
      <c r="D153" s="117" t="str">
        <f ca="1">IF(C153="Total",SUM(D$6:D152)+0.0001,"")</f>
        <v/>
      </c>
      <c r="E153" s="117" t="str">
        <f ca="1">IF(C153="Total",SUM(E$6:E152)+0.0001,"")</f>
        <v/>
      </c>
      <c r="F153" s="75" t="str">
        <f ca="1">IF(C153="Total",SUM(F$5:F152)+0.0001,Calc!AB154)</f>
        <v/>
      </c>
      <c r="G153" s="167" t="str">
        <f t="shared" ca="1" si="8"/>
        <v/>
      </c>
      <c r="H153" s="173" t="str">
        <f ca="1">IF(C153="Total",SUM(H$6:H152)+0.0001,"")</f>
        <v/>
      </c>
      <c r="I153" s="178"/>
      <c r="J153" s="175">
        <f>Calc!AE154</f>
        <v>0</v>
      </c>
      <c r="K153" s="122">
        <f>Calc!AF154</f>
        <v>0</v>
      </c>
      <c r="L153" s="122" t="str">
        <f ca="1">IF(Calc!AG154="Gewinn","eventueller Verlust",Calc!AG154)</f>
        <v/>
      </c>
      <c r="M153" s="117" t="str">
        <f ca="1">IF(L153="Total",SUM(M$6:M152)+0.0001,"")</f>
        <v/>
      </c>
      <c r="N153" s="117" t="str">
        <f ca="1">IF(L153="Total",SUM(N$6:N152)+0.0001,"")</f>
        <v/>
      </c>
      <c r="O153" s="75" t="str">
        <f ca="1">IF(L153="Total",SUM(O$6:O152)+0.0001,Calc!AH154)</f>
        <v/>
      </c>
      <c r="P153" s="167" t="str">
        <f t="shared" ca="1" si="7"/>
        <v/>
      </c>
      <c r="Q153" s="117" t="str">
        <f ca="1">IF(L153="Total",SUM(Q$6:Q152)+0.0001,"")</f>
        <v/>
      </c>
      <c r="V153">
        <v>3</v>
      </c>
      <c r="W153">
        <f t="shared" ca="1" si="9"/>
        <v>0</v>
      </c>
    </row>
    <row r="154" spans="1:23" ht="15">
      <c r="A154" s="123">
        <f>Calc!Y155</f>
        <v>0</v>
      </c>
      <c r="B154" s="122">
        <f>Calc!Z155</f>
        <v>0</v>
      </c>
      <c r="C154" s="122" t="str">
        <f ca="1">IF(Calc!AA155="Verlust","eventueller Gewinn",Calc!AA155)</f>
        <v/>
      </c>
      <c r="D154" s="117" t="str">
        <f ca="1">IF(C154="Total",SUM(D$6:D153)+0.0001,"")</f>
        <v/>
      </c>
      <c r="E154" s="117" t="str">
        <f ca="1">IF(C154="Total",SUM(E$6:E153)+0.0001,"")</f>
        <v/>
      </c>
      <c r="F154" s="75" t="str">
        <f ca="1">IF(C154="Total",SUM(F$5:F153)+0.0001,Calc!AB155)</f>
        <v/>
      </c>
      <c r="G154" s="167" t="str">
        <f t="shared" ca="1" si="8"/>
        <v/>
      </c>
      <c r="H154" s="173" t="str">
        <f ca="1">IF(C154="Total",SUM(H$6:H153)+0.0001,"")</f>
        <v/>
      </c>
      <c r="I154" s="178"/>
      <c r="J154" s="175">
        <f>Calc!AE155</f>
        <v>0</v>
      </c>
      <c r="K154" s="122">
        <f>Calc!AF155</f>
        <v>0</v>
      </c>
      <c r="L154" s="122" t="str">
        <f ca="1">IF(Calc!AG155="Gewinn","eventueller Verlust",Calc!AG155)</f>
        <v/>
      </c>
      <c r="M154" s="117" t="str">
        <f ca="1">IF(L154="Total",SUM(M$6:M153)+0.0001,"")</f>
        <v/>
      </c>
      <c r="N154" s="117" t="str">
        <f ca="1">IF(L154="Total",SUM(N$6:N153)+0.0001,"")</f>
        <v/>
      </c>
      <c r="O154" s="75" t="str">
        <f ca="1">IF(L154="Total",SUM(O$6:O153)+0.0001,Calc!AH155)</f>
        <v/>
      </c>
      <c r="P154" s="167" t="str">
        <f t="shared" ca="1" si="7"/>
        <v/>
      </c>
      <c r="Q154" s="117" t="str">
        <f ca="1">IF(L154="Total",SUM(Q$6:Q153)+0.0001,"")</f>
        <v/>
      </c>
      <c r="V154">
        <v>3</v>
      </c>
      <c r="W154">
        <f t="shared" ca="1" si="9"/>
        <v>0</v>
      </c>
    </row>
    <row r="155" spans="1:23" ht="15">
      <c r="A155" s="123">
        <f>Calc!Y156</f>
        <v>0</v>
      </c>
      <c r="B155" s="122">
        <f>Calc!Z156</f>
        <v>0</v>
      </c>
      <c r="C155" s="122" t="str">
        <f ca="1">IF(Calc!AA156="Verlust","eventueller Gewinn",Calc!AA156)</f>
        <v/>
      </c>
      <c r="D155" s="117" t="str">
        <f ca="1">IF(C155="Total",SUM(D$6:D154)+0.0001,"")</f>
        <v/>
      </c>
      <c r="E155" s="117" t="str">
        <f ca="1">IF(C155="Total",SUM(E$6:E154)+0.0001,"")</f>
        <v/>
      </c>
      <c r="F155" s="75" t="str">
        <f ca="1">IF(C155="Total",SUM(F$5:F154)+0.0001,Calc!AB156)</f>
        <v/>
      </c>
      <c r="G155" s="167" t="str">
        <f t="shared" ca="1" si="8"/>
        <v/>
      </c>
      <c r="H155" s="173" t="str">
        <f ca="1">IF(C155="Total",SUM(H$6:H154)+0.0001,"")</f>
        <v/>
      </c>
      <c r="I155" s="178"/>
      <c r="J155" s="175">
        <f>Calc!AE156</f>
        <v>0</v>
      </c>
      <c r="K155" s="122">
        <f>Calc!AF156</f>
        <v>0</v>
      </c>
      <c r="L155" s="122" t="str">
        <f ca="1">IF(Calc!AG156="Gewinn","eventueller Verlust",Calc!AG156)</f>
        <v/>
      </c>
      <c r="M155" s="117" t="str">
        <f ca="1">IF(L155="Total",SUM(M$6:M154)+0.0001,"")</f>
        <v/>
      </c>
      <c r="N155" s="117" t="str">
        <f ca="1">IF(L155="Total",SUM(N$6:N154)+0.0001,"")</f>
        <v/>
      </c>
      <c r="O155" s="75" t="str">
        <f ca="1">IF(L155="Total",SUM(O$6:O154)+0.0001,Calc!AH156)</f>
        <v/>
      </c>
      <c r="P155" s="167" t="str">
        <f t="shared" ca="1" si="7"/>
        <v/>
      </c>
      <c r="Q155" s="117" t="str">
        <f ca="1">IF(L155="Total",SUM(Q$6:Q154)+0.0001,"")</f>
        <v/>
      </c>
      <c r="V155">
        <v>3</v>
      </c>
      <c r="W155">
        <f t="shared" ca="1" si="9"/>
        <v>0</v>
      </c>
    </row>
    <row r="156" spans="1:23" ht="15">
      <c r="A156" s="123">
        <f>Calc!Y157</f>
        <v>0</v>
      </c>
      <c r="B156" s="122">
        <f>Calc!Z157</f>
        <v>0</v>
      </c>
      <c r="C156" s="122" t="str">
        <f ca="1">IF(Calc!AA157="Verlust","eventueller Gewinn",Calc!AA157)</f>
        <v/>
      </c>
      <c r="D156" s="117" t="str">
        <f ca="1">IF(C156="Total",SUM(D$6:D155)+0.0001,"")</f>
        <v/>
      </c>
      <c r="E156" s="117" t="str">
        <f ca="1">IF(C156="Total",SUM(E$6:E155)+0.0001,"")</f>
        <v/>
      </c>
      <c r="F156" s="75" t="str">
        <f ca="1">IF(C156="Total",SUM(F$5:F155)+0.0001,Calc!AB157)</f>
        <v/>
      </c>
      <c r="G156" s="167" t="str">
        <f t="shared" ca="1" si="8"/>
        <v/>
      </c>
      <c r="H156" s="173" t="str">
        <f ca="1">IF(C156="Total",SUM(H$6:H155)+0.0001,"")</f>
        <v/>
      </c>
      <c r="I156" s="178"/>
      <c r="J156" s="175">
        <f>Calc!AE157</f>
        <v>0</v>
      </c>
      <c r="K156" s="122">
        <f>Calc!AF157</f>
        <v>0</v>
      </c>
      <c r="L156" s="122" t="str">
        <f ca="1">IF(Calc!AG157="Gewinn","eventueller Verlust",Calc!AG157)</f>
        <v/>
      </c>
      <c r="M156" s="117" t="str">
        <f ca="1">IF(L156="Total",SUM(M$6:M155)+0.0001,"")</f>
        <v/>
      </c>
      <c r="N156" s="117" t="str">
        <f ca="1">IF(L156="Total",SUM(N$6:N155)+0.0001,"")</f>
        <v/>
      </c>
      <c r="O156" s="75" t="str">
        <f ca="1">IF(L156="Total",SUM(O$6:O155)+0.0001,Calc!AH157)</f>
        <v/>
      </c>
      <c r="P156" s="167" t="str">
        <f t="shared" ca="1" si="7"/>
        <v/>
      </c>
      <c r="Q156" s="117" t="str">
        <f ca="1">IF(L156="Total",SUM(Q$6:Q155)+0.0001,"")</f>
        <v/>
      </c>
      <c r="V156">
        <v>3</v>
      </c>
      <c r="W156">
        <f t="shared" ca="1" si="9"/>
        <v>0</v>
      </c>
    </row>
    <row r="157" spans="1:23" ht="15">
      <c r="A157" s="123">
        <f>Calc!Y158</f>
        <v>0</v>
      </c>
      <c r="B157" s="122">
        <f>Calc!Z158</f>
        <v>0</v>
      </c>
      <c r="C157" s="122" t="str">
        <f ca="1">IF(Calc!AA158="Verlust","eventueller Gewinn",Calc!AA158)</f>
        <v/>
      </c>
      <c r="D157" s="117" t="str">
        <f ca="1">IF(C157="Total",SUM(D$6:D156)+0.0001,"")</f>
        <v/>
      </c>
      <c r="E157" s="117" t="str">
        <f ca="1">IF(C157="Total",SUM(E$6:E156)+0.0001,"")</f>
        <v/>
      </c>
      <c r="F157" s="75" t="str">
        <f ca="1">IF(C157="Total",SUM(F$5:F156)+0.0001,Calc!AB158)</f>
        <v/>
      </c>
      <c r="G157" s="167" t="str">
        <f t="shared" ca="1" si="8"/>
        <v/>
      </c>
      <c r="H157" s="173" t="str">
        <f ca="1">IF(C157="Total",SUM(H$6:H156)+0.0001,"")</f>
        <v/>
      </c>
      <c r="I157" s="178"/>
      <c r="J157" s="175">
        <f>Calc!AE158</f>
        <v>0</v>
      </c>
      <c r="K157" s="122">
        <f>Calc!AF158</f>
        <v>0</v>
      </c>
      <c r="L157" s="122" t="str">
        <f ca="1">IF(Calc!AG158="Gewinn","eventueller Verlust",Calc!AG158)</f>
        <v/>
      </c>
      <c r="M157" s="117" t="str">
        <f ca="1">IF(L157="Total",SUM(M$6:M156)+0.0001,"")</f>
        <v/>
      </c>
      <c r="N157" s="117" t="str">
        <f ca="1">IF(L157="Total",SUM(N$6:N156)+0.0001,"")</f>
        <v/>
      </c>
      <c r="O157" s="75" t="str">
        <f ca="1">IF(L157="Total",SUM(O$6:O156)+0.0001,Calc!AH158)</f>
        <v/>
      </c>
      <c r="P157" s="167" t="str">
        <f t="shared" ca="1" si="7"/>
        <v/>
      </c>
      <c r="Q157" s="117" t="str">
        <f ca="1">IF(L157="Total",SUM(Q$6:Q156)+0.0001,"")</f>
        <v/>
      </c>
      <c r="V157">
        <v>3</v>
      </c>
      <c r="W157">
        <f t="shared" ca="1" si="9"/>
        <v>0</v>
      </c>
    </row>
    <row r="158" spans="1:23" ht="15">
      <c r="A158" s="123">
        <f>Calc!Y159</f>
        <v>0</v>
      </c>
      <c r="B158" s="122">
        <f>Calc!Z159</f>
        <v>0</v>
      </c>
      <c r="C158" s="122" t="str">
        <f ca="1">IF(Calc!AA159="Verlust","eventueller Gewinn",Calc!AA159)</f>
        <v/>
      </c>
      <c r="D158" s="117" t="str">
        <f ca="1">IF(C158="Total",SUM(D$6:D157)+0.0001,"")</f>
        <v/>
      </c>
      <c r="E158" s="117" t="str">
        <f ca="1">IF(C158="Total",SUM(E$6:E157)+0.0001,"")</f>
        <v/>
      </c>
      <c r="F158" s="75" t="str">
        <f ca="1">IF(C158="Total",SUM(F$5:F157)+0.0001,Calc!AB159)</f>
        <v/>
      </c>
      <c r="G158" s="167" t="str">
        <f t="shared" ca="1" si="8"/>
        <v/>
      </c>
      <c r="H158" s="173" t="str">
        <f ca="1">IF(C158="Total",SUM(H$6:H157)+0.0001,"")</f>
        <v/>
      </c>
      <c r="I158" s="178"/>
      <c r="J158" s="175">
        <f>Calc!AE159</f>
        <v>0</v>
      </c>
      <c r="K158" s="122">
        <f>Calc!AF159</f>
        <v>0</v>
      </c>
      <c r="L158" s="122" t="str">
        <f ca="1">IF(Calc!AG159="Gewinn","eventueller Verlust",Calc!AG159)</f>
        <v/>
      </c>
      <c r="M158" s="117" t="str">
        <f ca="1">IF(L158="Total",SUM(M$6:M157)+0.0001,"")</f>
        <v/>
      </c>
      <c r="N158" s="117" t="str">
        <f ca="1">IF(L158="Total",SUM(N$6:N157)+0.0001,"")</f>
        <v/>
      </c>
      <c r="O158" s="75" t="str">
        <f ca="1">IF(L158="Total",SUM(O$6:O157)+0.0001,Calc!AH159)</f>
        <v/>
      </c>
      <c r="P158" s="167" t="str">
        <f t="shared" ca="1" si="7"/>
        <v/>
      </c>
      <c r="Q158" s="117" t="str">
        <f ca="1">IF(L158="Total",SUM(Q$6:Q157)+0.0001,"")</f>
        <v/>
      </c>
      <c r="V158">
        <v>4</v>
      </c>
      <c r="W158">
        <f t="shared" ca="1" si="9"/>
        <v>0</v>
      </c>
    </row>
    <row r="159" spans="1:23" ht="15">
      <c r="A159" s="123">
        <f>Calc!Y160</f>
        <v>0</v>
      </c>
      <c r="B159" s="122">
        <f>Calc!Z160</f>
        <v>0</v>
      </c>
      <c r="C159" s="122" t="str">
        <f ca="1">IF(Calc!AA160="Verlust","eventueller Gewinn",Calc!AA160)</f>
        <v/>
      </c>
      <c r="D159" s="117" t="str">
        <f ca="1">IF(C159="Total",SUM(D$6:D158)+0.0001,"")</f>
        <v/>
      </c>
      <c r="E159" s="117" t="str">
        <f ca="1">IF(C159="Total",SUM(E$6:E158)+0.0001,"")</f>
        <v/>
      </c>
      <c r="F159" s="75" t="str">
        <f ca="1">IF(C159="Total",SUM(F$5:F158)+0.0001,Calc!AB160)</f>
        <v/>
      </c>
      <c r="G159" s="167" t="str">
        <f t="shared" ca="1" si="8"/>
        <v/>
      </c>
      <c r="H159" s="173" t="str">
        <f ca="1">IF(C159="Total",SUM(H$6:H158)+0.0001,"")</f>
        <v/>
      </c>
      <c r="I159" s="178"/>
      <c r="J159" s="175">
        <f>Calc!AE160</f>
        <v>0</v>
      </c>
      <c r="K159" s="122">
        <f>Calc!AF160</f>
        <v>0</v>
      </c>
      <c r="L159" s="122" t="str">
        <f ca="1">IF(Calc!AG160="Gewinn","eventueller Verlust",Calc!AG160)</f>
        <v/>
      </c>
      <c r="M159" s="117" t="str">
        <f ca="1">IF(L159="Total",SUM(M$6:M158)+0.0001,"")</f>
        <v/>
      </c>
      <c r="N159" s="117" t="str">
        <f ca="1">IF(L159="Total",SUM(N$6:N158)+0.0001,"")</f>
        <v/>
      </c>
      <c r="O159" s="75" t="str">
        <f ca="1">IF(L159="Total",SUM(O$6:O158)+0.0001,Calc!AH160)</f>
        <v/>
      </c>
      <c r="P159" s="167" t="str">
        <f t="shared" ca="1" si="7"/>
        <v/>
      </c>
      <c r="Q159" s="117" t="str">
        <f ca="1">IF(L159="Total",SUM(Q$6:Q158)+0.0001,"")</f>
        <v/>
      </c>
      <c r="V159">
        <v>4</v>
      </c>
      <c r="W159">
        <f t="shared" ca="1" si="9"/>
        <v>0</v>
      </c>
    </row>
    <row r="160" spans="1:23" ht="15">
      <c r="A160" s="123">
        <f>Calc!Y161</f>
        <v>0</v>
      </c>
      <c r="B160" s="122">
        <f>Calc!Z161</f>
        <v>0</v>
      </c>
      <c r="C160" s="122" t="str">
        <f ca="1">IF(Calc!AA161="Verlust","eventueller Gewinn",Calc!AA161)</f>
        <v/>
      </c>
      <c r="D160" s="117" t="str">
        <f ca="1">IF(C160="Total",SUM(D$6:D159)+0.0001,"")</f>
        <v/>
      </c>
      <c r="E160" s="117" t="str">
        <f ca="1">IF(C160="Total",SUM(E$6:E159)+0.0001,"")</f>
        <v/>
      </c>
      <c r="F160" s="75" t="str">
        <f ca="1">IF(C160="Total",SUM(F$5:F159)+0.0001,Calc!AB161)</f>
        <v/>
      </c>
      <c r="G160" s="167" t="str">
        <f t="shared" ca="1" si="8"/>
        <v/>
      </c>
      <c r="H160" s="173" t="str">
        <f ca="1">IF(C160="Total",SUM(H$6:H159)+0.0001,"")</f>
        <v/>
      </c>
      <c r="I160" s="178"/>
      <c r="J160" s="175">
        <f>Calc!AE161</f>
        <v>0</v>
      </c>
      <c r="K160" s="122">
        <f>Calc!AF161</f>
        <v>0</v>
      </c>
      <c r="L160" s="122" t="str">
        <f ca="1">IF(Calc!AG161="Gewinn","eventueller Verlust",Calc!AG161)</f>
        <v/>
      </c>
      <c r="M160" s="117" t="str">
        <f ca="1">IF(L160="Total",SUM(M$6:M159)+0.0001,"")</f>
        <v/>
      </c>
      <c r="N160" s="117" t="str">
        <f ca="1">IF(L160="Total",SUM(N$6:N159)+0.0001,"")</f>
        <v/>
      </c>
      <c r="O160" s="75" t="str">
        <f ca="1">IF(L160="Total",SUM(O$6:O159)+0.0001,Calc!AH161)</f>
        <v/>
      </c>
      <c r="P160" s="167" t="str">
        <f t="shared" ca="1" si="7"/>
        <v/>
      </c>
      <c r="Q160" s="117" t="str">
        <f ca="1">IF(L160="Total",SUM(Q$6:Q159)+0.0001,"")</f>
        <v/>
      </c>
      <c r="V160">
        <v>4</v>
      </c>
      <c r="W160">
        <f t="shared" ca="1" si="9"/>
        <v>0</v>
      </c>
    </row>
    <row r="161" spans="1:23" ht="15">
      <c r="A161" s="123">
        <f>Calc!Y162</f>
        <v>0</v>
      </c>
      <c r="B161" s="122">
        <f>Calc!Z162</f>
        <v>0</v>
      </c>
      <c r="C161" s="122" t="str">
        <f ca="1">IF(Calc!AA162="Verlust","eventueller Gewinn",Calc!AA162)</f>
        <v/>
      </c>
      <c r="D161" s="117" t="str">
        <f ca="1">IF(C161="Total",SUM(D$6:D160)+0.0001,"")</f>
        <v/>
      </c>
      <c r="E161" s="117" t="str">
        <f ca="1">IF(C161="Total",SUM(E$6:E160)+0.0001,"")</f>
        <v/>
      </c>
      <c r="F161" s="75" t="str">
        <f ca="1">IF(C161="Total",SUM(F$5:F160)+0.0001,Calc!AB162)</f>
        <v/>
      </c>
      <c r="G161" s="167" t="str">
        <f t="shared" ca="1" si="8"/>
        <v/>
      </c>
      <c r="H161" s="173" t="str">
        <f ca="1">IF(C161="Total",SUM(H$6:H160)+0.0001,"")</f>
        <v/>
      </c>
      <c r="I161" s="178"/>
      <c r="J161" s="175">
        <f>Calc!AE162</f>
        <v>0</v>
      </c>
      <c r="K161" s="122">
        <f>Calc!AF162</f>
        <v>0</v>
      </c>
      <c r="L161" s="122" t="str">
        <f ca="1">IF(Calc!AG162="Gewinn","eventueller Verlust",Calc!AG162)</f>
        <v/>
      </c>
      <c r="M161" s="117" t="str">
        <f ca="1">IF(L161="Total",SUM(M$6:M160)+0.0001,"")</f>
        <v/>
      </c>
      <c r="N161" s="117" t="str">
        <f ca="1">IF(L161="Total",SUM(N$6:N160)+0.0001,"")</f>
        <v/>
      </c>
      <c r="O161" s="75" t="str">
        <f ca="1">IF(L161="Total",SUM(O$6:O160)+0.0001,Calc!AH162)</f>
        <v/>
      </c>
      <c r="P161" s="167" t="str">
        <f t="shared" ca="1" si="7"/>
        <v/>
      </c>
      <c r="Q161" s="117" t="str">
        <f ca="1">IF(L161="Total",SUM(Q$6:Q160)+0.0001,"")</f>
        <v/>
      </c>
      <c r="V161">
        <v>4</v>
      </c>
      <c r="W161">
        <f t="shared" ca="1" si="9"/>
        <v>0</v>
      </c>
    </row>
    <row r="162" spans="1:23" ht="15">
      <c r="A162" s="123">
        <f>Calc!Y163</f>
        <v>0</v>
      </c>
      <c r="B162" s="122">
        <f>Calc!Z163</f>
        <v>0</v>
      </c>
      <c r="C162" s="122" t="str">
        <f ca="1">IF(Calc!AA163="Verlust","eventueller Gewinn",Calc!AA163)</f>
        <v/>
      </c>
      <c r="D162" s="117" t="str">
        <f ca="1">IF(C162="Total",SUM(D$6:D161)+0.0001,"")</f>
        <v/>
      </c>
      <c r="E162" s="117" t="str">
        <f ca="1">IF(C162="Total",SUM(E$6:E161)+0.0001,"")</f>
        <v/>
      </c>
      <c r="F162" s="75" t="str">
        <f ca="1">IF(C162="Total",SUM(F$5:F161)+0.0001,Calc!AB163)</f>
        <v/>
      </c>
      <c r="G162" s="167" t="str">
        <f t="shared" ca="1" si="8"/>
        <v/>
      </c>
      <c r="H162" s="173" t="str">
        <f ca="1">IF(C162="Total",SUM(H$6:H161)+0.0001,"")</f>
        <v/>
      </c>
      <c r="I162" s="178"/>
      <c r="J162" s="175">
        <f>Calc!AE163</f>
        <v>0</v>
      </c>
      <c r="K162" s="122">
        <f>Calc!AF163</f>
        <v>0</v>
      </c>
      <c r="L162" s="122" t="str">
        <f ca="1">IF(Calc!AG163="Gewinn","eventueller Verlust",Calc!AG163)</f>
        <v/>
      </c>
      <c r="M162" s="117" t="str">
        <f ca="1">IF(L162="Total",SUM(M$6:M161)+0.0001,"")</f>
        <v/>
      </c>
      <c r="N162" s="117" t="str">
        <f ca="1">IF(L162="Total",SUM(N$6:N161)+0.0001,"")</f>
        <v/>
      </c>
      <c r="O162" s="75" t="str">
        <f ca="1">IF(L162="Total",SUM(O$6:O161)+0.0001,Calc!AH163)</f>
        <v/>
      </c>
      <c r="P162" s="167" t="str">
        <f t="shared" ca="1" si="7"/>
        <v/>
      </c>
      <c r="Q162" s="117" t="str">
        <f ca="1">IF(L162="Total",SUM(Q$6:Q161)+0.0001,"")</f>
        <v/>
      </c>
      <c r="V162">
        <v>4</v>
      </c>
      <c r="W162">
        <f t="shared" ca="1" si="9"/>
        <v>0</v>
      </c>
    </row>
    <row r="163" spans="1:23" ht="15">
      <c r="A163" s="123">
        <f>Calc!Y164</f>
        <v>0</v>
      </c>
      <c r="B163" s="122">
        <f>Calc!Z164</f>
        <v>0</v>
      </c>
      <c r="C163" s="122" t="str">
        <f ca="1">IF(Calc!AA164="Verlust","eventueller Gewinn",Calc!AA164)</f>
        <v/>
      </c>
      <c r="D163" s="117" t="str">
        <f ca="1">IF(C163="Total",SUM(D$6:D162)+0.0001,"")</f>
        <v/>
      </c>
      <c r="E163" s="117" t="str">
        <f ca="1">IF(C163="Total",SUM(E$6:E162)+0.0001,"")</f>
        <v/>
      </c>
      <c r="F163" s="75" t="str">
        <f ca="1">IF(C163="Total",SUM(F$5:F162)+0.0001,Calc!AB164)</f>
        <v/>
      </c>
      <c r="G163" s="167" t="str">
        <f t="shared" ca="1" si="8"/>
        <v/>
      </c>
      <c r="H163" s="173" t="str">
        <f ca="1">IF(C163="Total",SUM(H$6:H162)+0.0001,"")</f>
        <v/>
      </c>
      <c r="I163" s="178"/>
      <c r="J163" s="175">
        <f>Calc!AE164</f>
        <v>0</v>
      </c>
      <c r="K163" s="122">
        <f>Calc!AF164</f>
        <v>0</v>
      </c>
      <c r="L163" s="122" t="str">
        <f ca="1">IF(Calc!AG164="Gewinn","eventueller Verlust",Calc!AG164)</f>
        <v/>
      </c>
      <c r="M163" s="117" t="str">
        <f ca="1">IF(L163="Total",SUM(M$6:M162)+0.0001,"")</f>
        <v/>
      </c>
      <c r="N163" s="117" t="str">
        <f ca="1">IF(L163="Total",SUM(N$6:N162)+0.0001,"")</f>
        <v/>
      </c>
      <c r="O163" s="75" t="str">
        <f ca="1">IF(L163="Total",SUM(O$6:O162)+0.0001,Calc!AH164)</f>
        <v/>
      </c>
      <c r="P163" s="167" t="str">
        <f t="shared" ca="1" si="7"/>
        <v/>
      </c>
      <c r="Q163" s="117" t="str">
        <f ca="1">IF(L163="Total",SUM(Q$6:Q162)+0.0001,"")</f>
        <v/>
      </c>
      <c r="V163">
        <v>4</v>
      </c>
      <c r="W163">
        <f t="shared" ca="1" si="9"/>
        <v>0</v>
      </c>
    </row>
    <row r="164" spans="1:23" ht="15">
      <c r="A164" s="123">
        <f>Calc!Y165</f>
        <v>0</v>
      </c>
      <c r="B164" s="122">
        <f>Calc!Z165</f>
        <v>0</v>
      </c>
      <c r="C164" s="122" t="str">
        <f ca="1">IF(Calc!AA165="Verlust","eventueller Gewinn",Calc!AA165)</f>
        <v/>
      </c>
      <c r="D164" s="117" t="str">
        <f ca="1">IF(C164="Total",SUM(D$6:D163)+0.0001,"")</f>
        <v/>
      </c>
      <c r="E164" s="117" t="str">
        <f ca="1">IF(C164="Total",SUM(E$6:E163)+0.0001,"")</f>
        <v/>
      </c>
      <c r="F164" s="75" t="str">
        <f ca="1">IF(C164="Total",SUM(F$5:F163)+0.0001,Calc!AB165)</f>
        <v/>
      </c>
      <c r="G164" s="167" t="str">
        <f t="shared" ca="1" si="8"/>
        <v/>
      </c>
      <c r="H164" s="173" t="str">
        <f ca="1">IF(C164="Total",SUM(H$6:H163)+0.0001,"")</f>
        <v/>
      </c>
      <c r="I164" s="178"/>
      <c r="J164" s="175">
        <f>Calc!AE165</f>
        <v>0</v>
      </c>
      <c r="K164" s="122">
        <f>Calc!AF165</f>
        <v>0</v>
      </c>
      <c r="L164" s="122" t="str">
        <f ca="1">IF(Calc!AG165="Gewinn","eventueller Verlust",Calc!AG165)</f>
        <v/>
      </c>
      <c r="M164" s="117" t="str">
        <f ca="1">IF(L164="Total",SUM(M$6:M163)+0.0001,"")</f>
        <v/>
      </c>
      <c r="N164" s="117" t="str">
        <f ca="1">IF(L164="Total",SUM(N$6:N163)+0.0001,"")</f>
        <v/>
      </c>
      <c r="O164" s="75" t="str">
        <f ca="1">IF(L164="Total",SUM(O$6:O163)+0.0001,Calc!AH165)</f>
        <v/>
      </c>
      <c r="P164" s="167" t="str">
        <f t="shared" ca="1" si="7"/>
        <v/>
      </c>
      <c r="Q164" s="117" t="str">
        <f ca="1">IF(L164="Total",SUM(Q$6:Q163)+0.0001,"")</f>
        <v/>
      </c>
      <c r="V164">
        <v>4</v>
      </c>
      <c r="W164">
        <f t="shared" ca="1" si="9"/>
        <v>0</v>
      </c>
    </row>
    <row r="165" spans="1:23" ht="15">
      <c r="A165" s="123">
        <f>Calc!Y166</f>
        <v>0</v>
      </c>
      <c r="B165" s="122">
        <f>Calc!Z166</f>
        <v>0</v>
      </c>
      <c r="C165" s="122" t="str">
        <f ca="1">IF(Calc!AA166="Verlust","eventueller Gewinn",Calc!AA166)</f>
        <v/>
      </c>
      <c r="D165" s="117" t="str">
        <f ca="1">IF(C165="Total",SUM(D$6:D164)+0.0001,"")</f>
        <v/>
      </c>
      <c r="E165" s="117" t="str">
        <f ca="1">IF(C165="Total",SUM(E$6:E164)+0.0001,"")</f>
        <v/>
      </c>
      <c r="F165" s="75" t="str">
        <f ca="1">IF(C165="Total",SUM(F$5:F164)+0.0001,Calc!AB166)</f>
        <v/>
      </c>
      <c r="G165" s="167" t="str">
        <f t="shared" ca="1" si="8"/>
        <v/>
      </c>
      <c r="H165" s="173" t="str">
        <f ca="1">IF(C165="Total",SUM(H$6:H164)+0.0001,"")</f>
        <v/>
      </c>
      <c r="I165" s="178"/>
      <c r="J165" s="175">
        <f>Calc!AE166</f>
        <v>0</v>
      </c>
      <c r="K165" s="122">
        <f>Calc!AF166</f>
        <v>0</v>
      </c>
      <c r="L165" s="122" t="str">
        <f ca="1">IF(Calc!AG166="Gewinn","eventueller Verlust",Calc!AG166)</f>
        <v/>
      </c>
      <c r="M165" s="117" t="str">
        <f ca="1">IF(L165="Total",SUM(M$6:M164)+0.0001,"")</f>
        <v/>
      </c>
      <c r="N165" s="117" t="str">
        <f ca="1">IF(L165="Total",SUM(N$6:N164)+0.0001,"")</f>
        <v/>
      </c>
      <c r="O165" s="75" t="str">
        <f ca="1">IF(L165="Total",SUM(O$6:O164)+0.0001,Calc!AH166)</f>
        <v/>
      </c>
      <c r="P165" s="167" t="str">
        <f t="shared" ca="1" si="7"/>
        <v/>
      </c>
      <c r="Q165" s="117" t="str">
        <f ca="1">IF(L165="Total",SUM(Q$6:Q164)+0.0001,"")</f>
        <v/>
      </c>
      <c r="V165">
        <v>4</v>
      </c>
      <c r="W165">
        <f t="shared" ca="1" si="9"/>
        <v>0</v>
      </c>
    </row>
    <row r="166" spans="1:23" ht="15">
      <c r="A166" s="123">
        <f>Calc!Y167</f>
        <v>0</v>
      </c>
      <c r="B166" s="122">
        <f>Calc!Z167</f>
        <v>0</v>
      </c>
      <c r="C166" s="122" t="str">
        <f ca="1">IF(Calc!AA167="Verlust","eventueller Gewinn",Calc!AA167)</f>
        <v/>
      </c>
      <c r="D166" s="117" t="str">
        <f ca="1">IF(C166="Total",SUM(D$6:D165)+0.0001,"")</f>
        <v/>
      </c>
      <c r="E166" s="117" t="str">
        <f ca="1">IF(C166="Total",SUM(E$6:E165)+0.0001,"")</f>
        <v/>
      </c>
      <c r="F166" s="75" t="str">
        <f ca="1">IF(C166="Total",SUM(F$5:F165)+0.0001,Calc!AB167)</f>
        <v/>
      </c>
      <c r="G166" s="167" t="str">
        <f t="shared" ca="1" si="8"/>
        <v/>
      </c>
      <c r="H166" s="173" t="str">
        <f ca="1">IF(C166="Total",SUM(H$6:H165)+0.0001,"")</f>
        <v/>
      </c>
      <c r="I166" s="178"/>
      <c r="J166" s="175">
        <f>Calc!AE167</f>
        <v>0</v>
      </c>
      <c r="K166" s="122">
        <f>Calc!AF167</f>
        <v>0</v>
      </c>
      <c r="L166" s="122" t="str">
        <f ca="1">IF(Calc!AG167="Gewinn","eventueller Verlust",Calc!AG167)</f>
        <v/>
      </c>
      <c r="M166" s="117" t="str">
        <f ca="1">IF(L166="Total",SUM(M$6:M165)+0.0001,"")</f>
        <v/>
      </c>
      <c r="N166" s="117" t="str">
        <f ca="1">IF(L166="Total",SUM(N$6:N165)+0.0001,"")</f>
        <v/>
      </c>
      <c r="O166" s="75" t="str">
        <f ca="1">IF(L166="Total",SUM(O$6:O165)+0.0001,Calc!AH167)</f>
        <v/>
      </c>
      <c r="P166" s="167" t="str">
        <f t="shared" ca="1" si="7"/>
        <v/>
      </c>
      <c r="Q166" s="117" t="str">
        <f ca="1">IF(L166="Total",SUM(Q$6:Q165)+0.0001,"")</f>
        <v/>
      </c>
      <c r="V166">
        <v>4</v>
      </c>
      <c r="W166">
        <f t="shared" ca="1" si="9"/>
        <v>0</v>
      </c>
    </row>
    <row r="167" spans="1:23" ht="15">
      <c r="A167" s="123">
        <f>Calc!Y168</f>
        <v>0</v>
      </c>
      <c r="B167" s="122">
        <f>Calc!Z168</f>
        <v>0</v>
      </c>
      <c r="C167" s="122" t="str">
        <f ca="1">IF(Calc!AA168="Verlust","eventueller Gewinn",Calc!AA168)</f>
        <v/>
      </c>
      <c r="D167" s="117" t="str">
        <f ca="1">IF(C167="Total",SUM(D$6:D166)+0.0001,"")</f>
        <v/>
      </c>
      <c r="E167" s="117" t="str">
        <f ca="1">IF(C167="Total",SUM(E$6:E166)+0.0001,"")</f>
        <v/>
      </c>
      <c r="F167" s="75" t="str">
        <f ca="1">IF(C167="Total",SUM(F$5:F166)+0.0001,Calc!AB168)</f>
        <v/>
      </c>
      <c r="G167" s="167" t="str">
        <f t="shared" ca="1" si="8"/>
        <v/>
      </c>
      <c r="H167" s="173" t="str">
        <f ca="1">IF(C167="Total",SUM(H$6:H166)+0.0001,"")</f>
        <v/>
      </c>
      <c r="I167" s="178"/>
      <c r="J167" s="175">
        <f>Calc!AE168</f>
        <v>0</v>
      </c>
      <c r="K167" s="122">
        <f>Calc!AF168</f>
        <v>0</v>
      </c>
      <c r="L167" s="122" t="str">
        <f ca="1">IF(Calc!AG168="Gewinn","eventueller Verlust",Calc!AG168)</f>
        <v/>
      </c>
      <c r="M167" s="117" t="str">
        <f ca="1">IF(L167="Total",SUM(M$6:M166)+0.0001,"")</f>
        <v/>
      </c>
      <c r="N167" s="117" t="str">
        <f ca="1">IF(L167="Total",SUM(N$6:N166)+0.0001,"")</f>
        <v/>
      </c>
      <c r="O167" s="75" t="str">
        <f ca="1">IF(L167="Total",SUM(O$6:O166)+0.0001,Calc!AH168)</f>
        <v/>
      </c>
      <c r="P167" s="167" t="str">
        <f t="shared" ca="1" si="7"/>
        <v/>
      </c>
      <c r="Q167" s="117" t="str">
        <f ca="1">IF(L167="Total",SUM(Q$6:Q166)+0.0001,"")</f>
        <v/>
      </c>
      <c r="V167">
        <v>4</v>
      </c>
      <c r="W167">
        <f t="shared" ca="1" si="9"/>
        <v>0</v>
      </c>
    </row>
    <row r="168" spans="1:23" ht="15">
      <c r="A168" s="123">
        <f>Calc!Y169</f>
        <v>0</v>
      </c>
      <c r="B168" s="122">
        <f>Calc!Z169</f>
        <v>0</v>
      </c>
      <c r="C168" s="122" t="str">
        <f ca="1">IF(Calc!AA169="Verlust","eventueller Gewinn",Calc!AA169)</f>
        <v/>
      </c>
      <c r="D168" s="117" t="str">
        <f ca="1">IF(C168="Total",SUM(D$6:D167)+0.0001,"")</f>
        <v/>
      </c>
      <c r="E168" s="117" t="str">
        <f ca="1">IF(C168="Total",SUM(E$6:E167)+0.0001,"")</f>
        <v/>
      </c>
      <c r="F168" s="75" t="str">
        <f ca="1">IF(C168="Total",SUM(F$5:F167)+0.0001,Calc!AB169)</f>
        <v/>
      </c>
      <c r="G168" s="167" t="str">
        <f t="shared" ca="1" si="8"/>
        <v/>
      </c>
      <c r="H168" s="173" t="str">
        <f ca="1">IF(C168="Total",SUM(H$6:H167)+0.0001,"")</f>
        <v/>
      </c>
      <c r="I168" s="178"/>
      <c r="J168" s="175">
        <f>Calc!AE169</f>
        <v>0</v>
      </c>
      <c r="K168" s="122">
        <f>Calc!AF169</f>
        <v>0</v>
      </c>
      <c r="L168" s="122" t="str">
        <f ca="1">IF(Calc!AG169="Gewinn","eventueller Verlust",Calc!AG169)</f>
        <v/>
      </c>
      <c r="M168" s="117" t="str">
        <f ca="1">IF(L168="Total",SUM(M$6:M167)+0.0001,"")</f>
        <v/>
      </c>
      <c r="N168" s="117" t="str">
        <f ca="1">IF(L168="Total",SUM(N$6:N167)+0.0001,"")</f>
        <v/>
      </c>
      <c r="O168" s="75" t="str">
        <f ca="1">IF(L168="Total",SUM(O$6:O167)+0.0001,Calc!AH169)</f>
        <v/>
      </c>
      <c r="P168" s="167" t="str">
        <f t="shared" ca="1" si="7"/>
        <v/>
      </c>
      <c r="Q168" s="117" t="str">
        <f ca="1">IF(L168="Total",SUM(Q$6:Q167)+0.0001,"")</f>
        <v/>
      </c>
      <c r="V168">
        <v>4</v>
      </c>
      <c r="W168">
        <f t="shared" ca="1" si="9"/>
        <v>0</v>
      </c>
    </row>
    <row r="169" spans="1:23" ht="15">
      <c r="A169" s="123">
        <f>Calc!Y170</f>
        <v>0</v>
      </c>
      <c r="B169" s="122">
        <f>Calc!Z170</f>
        <v>0</v>
      </c>
      <c r="C169" s="122" t="str">
        <f ca="1">IF(Calc!AA170="Verlust","eventueller Gewinn",Calc!AA170)</f>
        <v/>
      </c>
      <c r="D169" s="117" t="str">
        <f ca="1">IF(C169="Total",SUM(D$6:D168)+0.0001,"")</f>
        <v/>
      </c>
      <c r="E169" s="117" t="str">
        <f ca="1">IF(C169="Total",SUM(E$6:E168)+0.0001,"")</f>
        <v/>
      </c>
      <c r="F169" s="75" t="str">
        <f ca="1">IF(C169="Total",SUM(F$5:F168)+0.0001,Calc!AB170)</f>
        <v/>
      </c>
      <c r="G169" s="167" t="str">
        <f t="shared" ca="1" si="8"/>
        <v/>
      </c>
      <c r="H169" s="173" t="str">
        <f ca="1">IF(C169="Total",SUM(H$6:H168)+0.0001,"")</f>
        <v/>
      </c>
      <c r="I169" s="178"/>
      <c r="J169" s="175">
        <f>Calc!AE170</f>
        <v>0</v>
      </c>
      <c r="K169" s="122">
        <f>Calc!AF170</f>
        <v>0</v>
      </c>
      <c r="L169" s="122" t="str">
        <f ca="1">IF(Calc!AG170="Gewinn","eventueller Verlust",Calc!AG170)</f>
        <v/>
      </c>
      <c r="M169" s="117" t="str">
        <f ca="1">IF(L169="Total",SUM(M$6:M168)+0.0001,"")</f>
        <v/>
      </c>
      <c r="N169" s="117" t="str">
        <f ca="1">IF(L169="Total",SUM(N$6:N168)+0.0001,"")</f>
        <v/>
      </c>
      <c r="O169" s="75" t="str">
        <f ca="1">IF(L169="Total",SUM(O$6:O168)+0.0001,Calc!AH170)</f>
        <v/>
      </c>
      <c r="P169" s="167" t="str">
        <f t="shared" ca="1" si="7"/>
        <v/>
      </c>
      <c r="Q169" s="117" t="str">
        <f ca="1">IF(L169="Total",SUM(Q$6:Q168)+0.0001,"")</f>
        <v/>
      </c>
      <c r="V169">
        <v>4</v>
      </c>
      <c r="W169">
        <f t="shared" ca="1" si="9"/>
        <v>0</v>
      </c>
    </row>
    <row r="170" spans="1:23" ht="15">
      <c r="A170" s="123">
        <f>Calc!Y171</f>
        <v>0</v>
      </c>
      <c r="B170" s="122">
        <f>Calc!Z171</f>
        <v>0</v>
      </c>
      <c r="C170" s="122" t="str">
        <f ca="1">IF(Calc!AA171="Verlust","eventueller Gewinn",Calc!AA171)</f>
        <v/>
      </c>
      <c r="D170" s="117" t="str">
        <f ca="1">IF(C170="Total",SUM(D$6:D169)+0.0001,"")</f>
        <v/>
      </c>
      <c r="E170" s="117" t="str">
        <f ca="1">IF(C170="Total",SUM(E$6:E169)+0.0001,"")</f>
        <v/>
      </c>
      <c r="F170" s="75" t="str">
        <f ca="1">IF(C170="Total",SUM(F$5:F169)+0.0001,Calc!AB171)</f>
        <v/>
      </c>
      <c r="G170" s="167" t="str">
        <f t="shared" ca="1" si="8"/>
        <v/>
      </c>
      <c r="H170" s="173" t="str">
        <f ca="1">IF(C170="Total",SUM(H$6:H169)+0.0001,"")</f>
        <v/>
      </c>
      <c r="I170" s="178"/>
      <c r="J170" s="175">
        <f>Calc!AE171</f>
        <v>0</v>
      </c>
      <c r="K170" s="122">
        <f>Calc!AF171</f>
        <v>0</v>
      </c>
      <c r="L170" s="122" t="str">
        <f ca="1">IF(Calc!AG171="Gewinn","eventueller Verlust",Calc!AG171)</f>
        <v/>
      </c>
      <c r="M170" s="117" t="str">
        <f ca="1">IF(L170="Total",SUM(M$6:M169)+0.0001,"")</f>
        <v/>
      </c>
      <c r="N170" s="117" t="str">
        <f ca="1">IF(L170="Total",SUM(N$6:N169)+0.0001,"")</f>
        <v/>
      </c>
      <c r="O170" s="75" t="str">
        <f ca="1">IF(L170="Total",SUM(O$6:O169)+0.0001,Calc!AH171)</f>
        <v/>
      </c>
      <c r="P170" s="167" t="str">
        <f t="shared" ca="1" si="7"/>
        <v/>
      </c>
      <c r="Q170" s="117" t="str">
        <f ca="1">IF(L170="Total",SUM(Q$6:Q169)+0.0001,"")</f>
        <v/>
      </c>
      <c r="V170">
        <v>4</v>
      </c>
      <c r="W170">
        <f t="shared" ca="1" si="9"/>
        <v>0</v>
      </c>
    </row>
    <row r="171" spans="1:23" ht="15">
      <c r="A171" s="123">
        <f>Calc!Y172</f>
        <v>0</v>
      </c>
      <c r="B171" s="122">
        <f>Calc!Z172</f>
        <v>0</v>
      </c>
      <c r="C171" s="122" t="str">
        <f ca="1">IF(Calc!AA172="Verlust","eventueller Gewinn",Calc!AA172)</f>
        <v/>
      </c>
      <c r="D171" s="117" t="str">
        <f ca="1">IF(C171="Total",SUM(D$6:D170)+0.0001,"")</f>
        <v/>
      </c>
      <c r="E171" s="117" t="str">
        <f ca="1">IF(C171="Total",SUM(E$6:E170)+0.0001,"")</f>
        <v/>
      </c>
      <c r="F171" s="75" t="str">
        <f ca="1">IF(C171="Total",SUM(F$5:F170)+0.0001,Calc!AB172)</f>
        <v/>
      </c>
      <c r="G171" s="167" t="str">
        <f t="shared" ca="1" si="8"/>
        <v/>
      </c>
      <c r="H171" s="173" t="str">
        <f ca="1">IF(C171="Total",SUM(H$6:H170)+0.0001,"")</f>
        <v/>
      </c>
      <c r="I171" s="178"/>
      <c r="J171" s="175">
        <f>Calc!AE172</f>
        <v>0</v>
      </c>
      <c r="K171" s="122">
        <f>Calc!AF172</f>
        <v>0</v>
      </c>
      <c r="L171" s="122" t="str">
        <f ca="1">IF(Calc!AG172="Gewinn","eventueller Verlust",Calc!AG172)</f>
        <v/>
      </c>
      <c r="M171" s="117" t="str">
        <f ca="1">IF(L171="Total",SUM(M$6:M170)+0.0001,"")</f>
        <v/>
      </c>
      <c r="N171" s="117" t="str">
        <f ca="1">IF(L171="Total",SUM(N$6:N170)+0.0001,"")</f>
        <v/>
      </c>
      <c r="O171" s="75" t="str">
        <f ca="1">IF(L171="Total",SUM(O$6:O170)+0.0001,Calc!AH172)</f>
        <v/>
      </c>
      <c r="P171" s="167" t="str">
        <f t="shared" ca="1" si="7"/>
        <v/>
      </c>
      <c r="Q171" s="117" t="str">
        <f ca="1">IF(L171="Total",SUM(Q$6:Q170)+0.0001,"")</f>
        <v/>
      </c>
      <c r="V171">
        <v>4</v>
      </c>
      <c r="W171">
        <f t="shared" ca="1" si="9"/>
        <v>0</v>
      </c>
    </row>
    <row r="172" spans="1:23" ht="15">
      <c r="A172" s="123">
        <f>Calc!Y173</f>
        <v>0</v>
      </c>
      <c r="B172" s="122">
        <f>Calc!Z173</f>
        <v>0</v>
      </c>
      <c r="C172" s="122" t="str">
        <f ca="1">IF(Calc!AA173="Verlust","eventueller Gewinn",Calc!AA173)</f>
        <v/>
      </c>
      <c r="D172" s="117" t="str">
        <f ca="1">IF(C172="Total",SUM(D$6:D171)+0.0001,"")</f>
        <v/>
      </c>
      <c r="E172" s="117" t="str">
        <f ca="1">IF(C172="Total",SUM(E$6:E171)+0.0001,"")</f>
        <v/>
      </c>
      <c r="F172" s="75" t="str">
        <f ca="1">IF(C172="Total",SUM(F$5:F171)+0.0001,Calc!AB173)</f>
        <v/>
      </c>
      <c r="G172" s="167" t="str">
        <f t="shared" ca="1" si="8"/>
        <v/>
      </c>
      <c r="H172" s="173" t="str">
        <f ca="1">IF(C172="Total",SUM(H$6:H171)+0.0001,"")</f>
        <v/>
      </c>
      <c r="I172" s="178"/>
      <c r="J172" s="175">
        <f>Calc!AE173</f>
        <v>0</v>
      </c>
      <c r="K172" s="122">
        <f>Calc!AF173</f>
        <v>0</v>
      </c>
      <c r="L172" s="122" t="str">
        <f ca="1">IF(Calc!AG173="Gewinn","eventueller Verlust",Calc!AG173)</f>
        <v/>
      </c>
      <c r="M172" s="117" t="str">
        <f ca="1">IF(L172="Total",SUM(M$6:M171)+0.0001,"")</f>
        <v/>
      </c>
      <c r="N172" s="117" t="str">
        <f ca="1">IF(L172="Total",SUM(N$6:N171)+0.0001,"")</f>
        <v/>
      </c>
      <c r="O172" s="75" t="str">
        <f ca="1">IF(L172="Total",SUM(O$6:O171)+0.0001,Calc!AH173)</f>
        <v/>
      </c>
      <c r="P172" s="167" t="str">
        <f t="shared" ca="1" si="7"/>
        <v/>
      </c>
      <c r="Q172" s="117" t="str">
        <f ca="1">IF(L172="Total",SUM(Q$6:Q171)+0.0001,"")</f>
        <v/>
      </c>
      <c r="V172">
        <v>4</v>
      </c>
      <c r="W172">
        <f t="shared" ca="1" si="9"/>
        <v>0</v>
      </c>
    </row>
    <row r="173" spans="1:23" ht="15">
      <c r="A173" s="123">
        <f>Calc!Y174</f>
        <v>0</v>
      </c>
      <c r="B173" s="122">
        <f>Calc!Z174</f>
        <v>0</v>
      </c>
      <c r="C173" s="122" t="str">
        <f ca="1">IF(Calc!AA174="Verlust","eventueller Gewinn",Calc!AA174)</f>
        <v/>
      </c>
      <c r="D173" s="117" t="str">
        <f ca="1">IF(C173="Total",SUM(D$6:D172)+0.0001,"")</f>
        <v/>
      </c>
      <c r="E173" s="117" t="str">
        <f ca="1">IF(C173="Total",SUM(E$6:E172)+0.0001,"")</f>
        <v/>
      </c>
      <c r="F173" s="75" t="str">
        <f ca="1">IF(C173="Total",SUM(F$5:F172)+0.0001,Calc!AB174)</f>
        <v/>
      </c>
      <c r="G173" s="167" t="str">
        <f t="shared" ca="1" si="8"/>
        <v/>
      </c>
      <c r="H173" s="173" t="str">
        <f ca="1">IF(C173="Total",SUM(H$6:H172)+0.0001,"")</f>
        <v/>
      </c>
      <c r="I173" s="178"/>
      <c r="J173" s="175">
        <f>Calc!AE174</f>
        <v>0</v>
      </c>
      <c r="K173" s="122">
        <f>Calc!AF174</f>
        <v>0</v>
      </c>
      <c r="L173" s="122" t="str">
        <f ca="1">IF(Calc!AG174="Gewinn","eventueller Verlust",Calc!AG174)</f>
        <v/>
      </c>
      <c r="M173" s="117" t="str">
        <f ca="1">IF(L173="Total",SUM(M$6:M172)+0.0001,"")</f>
        <v/>
      </c>
      <c r="N173" s="117" t="str">
        <f ca="1">IF(L173="Total",SUM(N$6:N172)+0.0001,"")</f>
        <v/>
      </c>
      <c r="O173" s="75" t="str">
        <f ca="1">IF(L173="Total",SUM(O$6:O172)+0.0001,Calc!AH174)</f>
        <v/>
      </c>
      <c r="P173" s="167" t="str">
        <f t="shared" ca="1" si="7"/>
        <v/>
      </c>
      <c r="Q173" s="117" t="str">
        <f ca="1">IF(L173="Total",SUM(Q$6:Q172)+0.0001,"")</f>
        <v/>
      </c>
      <c r="V173">
        <v>4</v>
      </c>
      <c r="W173">
        <f t="shared" ca="1" si="9"/>
        <v>0</v>
      </c>
    </row>
    <row r="174" spans="1:23" ht="15">
      <c r="A174" s="123">
        <f>Calc!Y175</f>
        <v>0</v>
      </c>
      <c r="B174" s="122">
        <f>Calc!Z175</f>
        <v>0</v>
      </c>
      <c r="C174" s="122" t="str">
        <f ca="1">IF(Calc!AA175="Verlust","eventueller Gewinn",Calc!AA175)</f>
        <v/>
      </c>
      <c r="D174" s="117" t="str">
        <f ca="1">IF(C174="Total",SUM(D$6:D173)+0.0001,"")</f>
        <v/>
      </c>
      <c r="E174" s="117" t="str">
        <f ca="1">IF(C174="Total",SUM(E$6:E173)+0.0001,"")</f>
        <v/>
      </c>
      <c r="F174" s="75" t="str">
        <f ca="1">IF(C174="Total",SUM(F$5:F173)+0.0001,Calc!AB175)</f>
        <v/>
      </c>
      <c r="G174" s="167" t="str">
        <f t="shared" ca="1" si="8"/>
        <v/>
      </c>
      <c r="H174" s="173" t="str">
        <f ca="1">IF(C174="Total",SUM(H$6:H173)+0.0001,"")</f>
        <v/>
      </c>
      <c r="I174" s="178"/>
      <c r="J174" s="175">
        <f>Calc!AE175</f>
        <v>0</v>
      </c>
      <c r="K174" s="122">
        <f>Calc!AF175</f>
        <v>0</v>
      </c>
      <c r="L174" s="122" t="str">
        <f ca="1">IF(Calc!AG175="Gewinn","eventueller Verlust",Calc!AG175)</f>
        <v/>
      </c>
      <c r="M174" s="117" t="str">
        <f ca="1">IF(L174="Total",SUM(M$6:M173)+0.0001,"")</f>
        <v/>
      </c>
      <c r="N174" s="117" t="str">
        <f ca="1">IF(L174="Total",SUM(N$6:N173)+0.0001,"")</f>
        <v/>
      </c>
      <c r="O174" s="75" t="str">
        <f ca="1">IF(L174="Total",SUM(O$6:O173)+0.0001,Calc!AH175)</f>
        <v/>
      </c>
      <c r="P174" s="167" t="str">
        <f t="shared" ca="1" si="7"/>
        <v/>
      </c>
      <c r="Q174" s="117" t="str">
        <f ca="1">IF(L174="Total",SUM(Q$6:Q173)+0.0001,"")</f>
        <v/>
      </c>
      <c r="V174">
        <v>4</v>
      </c>
      <c r="W174">
        <f t="shared" ca="1" si="9"/>
        <v>0</v>
      </c>
    </row>
    <row r="175" spans="1:23" ht="15">
      <c r="A175" s="123">
        <f>Calc!Y176</f>
        <v>0</v>
      </c>
      <c r="B175" s="122">
        <f>Calc!Z176</f>
        <v>0</v>
      </c>
      <c r="C175" s="122" t="str">
        <f ca="1">IF(Calc!AA176="Verlust","eventueller Gewinn",Calc!AA176)</f>
        <v/>
      </c>
      <c r="D175" s="117" t="str">
        <f ca="1">IF(C175="Total",SUM(D$6:D174)+0.0001,"")</f>
        <v/>
      </c>
      <c r="E175" s="117" t="str">
        <f ca="1">IF(C175="Total",SUM(E$6:E174)+0.0001,"")</f>
        <v/>
      </c>
      <c r="F175" s="75" t="str">
        <f ca="1">IF(C175="Total",SUM(F$5:F174)+0.0001,Calc!AB176)</f>
        <v/>
      </c>
      <c r="G175" s="167" t="str">
        <f t="shared" ca="1" si="8"/>
        <v/>
      </c>
      <c r="H175" s="173" t="str">
        <f ca="1">IF(C175="Total",SUM(H$6:H174)+0.0001,"")</f>
        <v/>
      </c>
      <c r="I175" s="178"/>
      <c r="J175" s="175">
        <f>Calc!AE176</f>
        <v>0</v>
      </c>
      <c r="K175" s="122">
        <f>Calc!AF176</f>
        <v>0</v>
      </c>
      <c r="L175" s="122" t="str">
        <f ca="1">IF(Calc!AG176="Gewinn","eventueller Verlust",Calc!AG176)</f>
        <v/>
      </c>
      <c r="M175" s="117" t="str">
        <f ca="1">IF(L175="Total",SUM(M$6:M174)+0.0001,"")</f>
        <v/>
      </c>
      <c r="N175" s="117" t="str">
        <f ca="1">IF(L175="Total",SUM(N$6:N174)+0.0001,"")</f>
        <v/>
      </c>
      <c r="O175" s="75" t="str">
        <f ca="1">IF(L175="Total",SUM(O$6:O174)+0.0001,Calc!AH176)</f>
        <v/>
      </c>
      <c r="P175" s="167" t="str">
        <f t="shared" ca="1" si="7"/>
        <v/>
      </c>
      <c r="Q175" s="117" t="str">
        <f ca="1">IF(L175="Total",SUM(Q$6:Q174)+0.0001,"")</f>
        <v/>
      </c>
      <c r="V175">
        <v>4</v>
      </c>
      <c r="W175">
        <f t="shared" ca="1" si="9"/>
        <v>0</v>
      </c>
    </row>
    <row r="176" spans="1:23" ht="15">
      <c r="A176" s="123">
        <f>Calc!Y177</f>
        <v>0</v>
      </c>
      <c r="B176" s="122">
        <f>Calc!Z177</f>
        <v>0</v>
      </c>
      <c r="C176" s="122" t="str">
        <f ca="1">IF(Calc!AA177="Verlust","eventueller Gewinn",Calc!AA177)</f>
        <v/>
      </c>
      <c r="D176" s="117" t="str">
        <f ca="1">IF(C176="Total",SUM(D$6:D175)+0.0001,"")</f>
        <v/>
      </c>
      <c r="E176" s="117" t="str">
        <f ca="1">IF(C176="Total",SUM(E$6:E175)+0.0001,"")</f>
        <v/>
      </c>
      <c r="F176" s="75" t="str">
        <f ca="1">IF(C176="Total",SUM(F$5:F175)+0.0001,Calc!AB177)</f>
        <v/>
      </c>
      <c r="G176" s="167" t="str">
        <f t="shared" ca="1" si="8"/>
        <v/>
      </c>
      <c r="H176" s="173" t="str">
        <f ca="1">IF(C176="Total",SUM(H$6:H175)+0.0001,"")</f>
        <v/>
      </c>
      <c r="I176" s="178"/>
      <c r="J176" s="175">
        <f>Calc!AE177</f>
        <v>0</v>
      </c>
      <c r="K176" s="122">
        <f>Calc!AF177</f>
        <v>0</v>
      </c>
      <c r="L176" s="122" t="str">
        <f ca="1">IF(Calc!AG177="Gewinn","eventueller Verlust",Calc!AG177)</f>
        <v/>
      </c>
      <c r="M176" s="117" t="str">
        <f ca="1">IF(L176="Total",SUM(M$6:M175)+0.0001,"")</f>
        <v/>
      </c>
      <c r="N176" s="117" t="str">
        <f ca="1">IF(L176="Total",SUM(N$6:N175)+0.0001,"")</f>
        <v/>
      </c>
      <c r="O176" s="75" t="str">
        <f ca="1">IF(L176="Total",SUM(O$6:O175)+0.0001,Calc!AH177)</f>
        <v/>
      </c>
      <c r="P176" s="167" t="str">
        <f t="shared" ca="1" si="7"/>
        <v/>
      </c>
      <c r="Q176" s="117" t="str">
        <f ca="1">IF(L176="Total",SUM(Q$6:Q175)+0.0001,"")</f>
        <v/>
      </c>
      <c r="V176">
        <v>4</v>
      </c>
      <c r="W176">
        <f t="shared" ca="1" si="9"/>
        <v>0</v>
      </c>
    </row>
    <row r="177" spans="1:23" ht="15">
      <c r="A177" s="123">
        <f>Calc!Y178</f>
        <v>0</v>
      </c>
      <c r="B177" s="122">
        <f>Calc!Z178</f>
        <v>0</v>
      </c>
      <c r="C177" s="122" t="str">
        <f ca="1">IF(Calc!AA178="Verlust","eventueller Gewinn",Calc!AA178)</f>
        <v/>
      </c>
      <c r="D177" s="117" t="str">
        <f ca="1">IF(C177="Total",SUM(D$6:D176)+0.0001,"")</f>
        <v/>
      </c>
      <c r="E177" s="117" t="str">
        <f ca="1">IF(C177="Total",SUM(E$6:E176)+0.0001,"")</f>
        <v/>
      </c>
      <c r="F177" s="75" t="str">
        <f ca="1">IF(C177="Total",SUM(F$5:F176)+0.0001,Calc!AB178)</f>
        <v/>
      </c>
      <c r="G177" s="167" t="str">
        <f t="shared" ca="1" si="8"/>
        <v/>
      </c>
      <c r="H177" s="173" t="str">
        <f ca="1">IF(C177="Total",SUM(H$6:H176)+0.0001,"")</f>
        <v/>
      </c>
      <c r="I177" s="178"/>
      <c r="J177" s="175">
        <f>Calc!AE178</f>
        <v>0</v>
      </c>
      <c r="K177" s="122">
        <f>Calc!AF178</f>
        <v>0</v>
      </c>
      <c r="L177" s="122" t="str">
        <f ca="1">IF(Calc!AG178="Gewinn","eventueller Verlust",Calc!AG178)</f>
        <v/>
      </c>
      <c r="M177" s="117" t="str">
        <f ca="1">IF(L177="Total",SUM(M$6:M176)+0.0001,"")</f>
        <v/>
      </c>
      <c r="N177" s="117" t="str">
        <f ca="1">IF(L177="Total",SUM(N$6:N176)+0.0001,"")</f>
        <v/>
      </c>
      <c r="O177" s="75" t="str">
        <f ca="1">IF(L177="Total",SUM(O$6:O176)+0.0001,Calc!AH178)</f>
        <v/>
      </c>
      <c r="P177" s="167" t="str">
        <f t="shared" ca="1" si="7"/>
        <v/>
      </c>
      <c r="Q177" s="117" t="str">
        <f ca="1">IF(L177="Total",SUM(Q$6:Q176)+0.0001,"")</f>
        <v/>
      </c>
      <c r="V177">
        <v>4</v>
      </c>
      <c r="W177">
        <f t="shared" ca="1" si="9"/>
        <v>0</v>
      </c>
    </row>
    <row r="178" spans="1:23" ht="15">
      <c r="A178" s="123">
        <f>Calc!Y179</f>
        <v>0</v>
      </c>
      <c r="B178" s="122">
        <f>Calc!Z179</f>
        <v>0</v>
      </c>
      <c r="C178" s="122" t="str">
        <f ca="1">IF(Calc!AA179="Verlust","eventueller Gewinn",Calc!AA179)</f>
        <v/>
      </c>
      <c r="D178" s="117" t="str">
        <f ca="1">IF(C178="Total",SUM(D$6:D177)+0.0001,"")</f>
        <v/>
      </c>
      <c r="E178" s="117" t="str">
        <f ca="1">IF(C178="Total",SUM(E$6:E177)+0.0001,"")</f>
        <v/>
      </c>
      <c r="F178" s="75" t="str">
        <f ca="1">IF(C178="Total",SUM(F$5:F177)+0.0001,Calc!AB179)</f>
        <v/>
      </c>
      <c r="G178" s="167" t="str">
        <f t="shared" ca="1" si="8"/>
        <v/>
      </c>
      <c r="H178" s="173" t="str">
        <f ca="1">IF(C178="Total",SUM(H$6:H177)+0.0001,"")</f>
        <v/>
      </c>
      <c r="I178" s="178"/>
      <c r="J178" s="175">
        <f>Calc!AE179</f>
        <v>0</v>
      </c>
      <c r="K178" s="122">
        <f>Calc!AF179</f>
        <v>0</v>
      </c>
      <c r="L178" s="122" t="str">
        <f ca="1">IF(Calc!AG179="Gewinn","eventueller Verlust",Calc!AG179)</f>
        <v/>
      </c>
      <c r="M178" s="117" t="str">
        <f ca="1">IF(L178="Total",SUM(M$6:M177)+0.0001,"")</f>
        <v/>
      </c>
      <c r="N178" s="117" t="str">
        <f ca="1">IF(L178="Total",SUM(N$6:N177)+0.0001,"")</f>
        <v/>
      </c>
      <c r="O178" s="75" t="str">
        <f ca="1">IF(L178="Total",SUM(O$6:O177)+0.0001,Calc!AH179)</f>
        <v/>
      </c>
      <c r="P178" s="167" t="str">
        <f t="shared" ca="1" si="7"/>
        <v/>
      </c>
      <c r="Q178" s="117" t="str">
        <f ca="1">IF(L178="Total",SUM(Q$6:Q177)+0.0001,"")</f>
        <v/>
      </c>
      <c r="V178">
        <v>4</v>
      </c>
      <c r="W178">
        <f t="shared" ca="1" si="9"/>
        <v>0</v>
      </c>
    </row>
    <row r="179" spans="1:23" ht="15">
      <c r="A179" s="123">
        <f>Calc!Y180</f>
        <v>0</v>
      </c>
      <c r="B179" s="122">
        <f>Calc!Z180</f>
        <v>0</v>
      </c>
      <c r="C179" s="122" t="str">
        <f ca="1">IF(Calc!AA180="Verlust","eventueller Gewinn",Calc!AA180)</f>
        <v/>
      </c>
      <c r="D179" s="117" t="str">
        <f ca="1">IF(C179="Total",SUM(D$6:D178)+0.0001,"")</f>
        <v/>
      </c>
      <c r="E179" s="117" t="str">
        <f ca="1">IF(C179="Total",SUM(E$6:E178)+0.0001,"")</f>
        <v/>
      </c>
      <c r="F179" s="75" t="str">
        <f ca="1">IF(C179="Total",SUM(F$5:F178)+0.0001,Calc!AB180)</f>
        <v/>
      </c>
      <c r="G179" s="167" t="str">
        <f t="shared" ca="1" si="8"/>
        <v/>
      </c>
      <c r="H179" s="173" t="str">
        <f ca="1">IF(C179="Total",SUM(H$6:H178)+0.0001,"")</f>
        <v/>
      </c>
      <c r="I179" s="178"/>
      <c r="J179" s="175">
        <f>Calc!AE180</f>
        <v>0</v>
      </c>
      <c r="K179" s="122">
        <f>Calc!AF180</f>
        <v>0</v>
      </c>
      <c r="L179" s="122" t="str">
        <f ca="1">IF(Calc!AG180="Gewinn","eventueller Verlust",Calc!AG180)</f>
        <v/>
      </c>
      <c r="M179" s="117" t="str">
        <f ca="1">IF(L179="Total",SUM(M$6:M178)+0.0001,"")</f>
        <v/>
      </c>
      <c r="N179" s="117" t="str">
        <f ca="1">IF(L179="Total",SUM(N$6:N178)+0.0001,"")</f>
        <v/>
      </c>
      <c r="O179" s="75" t="str">
        <f ca="1">IF(L179="Total",SUM(O$6:O178)+0.0001,Calc!AH180)</f>
        <v/>
      </c>
      <c r="P179" s="167" t="str">
        <f t="shared" ca="1" si="7"/>
        <v/>
      </c>
      <c r="Q179" s="117" t="str">
        <f ca="1">IF(L179="Total",SUM(Q$6:Q178)+0.0001,"")</f>
        <v/>
      </c>
      <c r="V179">
        <v>4</v>
      </c>
      <c r="W179">
        <f t="shared" ca="1" si="9"/>
        <v>0</v>
      </c>
    </row>
    <row r="180" spans="1:23" ht="15">
      <c r="A180" s="123">
        <f>Calc!Y181</f>
        <v>0</v>
      </c>
      <c r="B180" s="122">
        <f>Calc!Z181</f>
        <v>0</v>
      </c>
      <c r="C180" s="122" t="str">
        <f ca="1">IF(Calc!AA181="Verlust","eventueller Gewinn",Calc!AA181)</f>
        <v/>
      </c>
      <c r="D180" s="117" t="str">
        <f ca="1">IF(C180="Total",SUM(D$6:D179)+0.0001,"")</f>
        <v/>
      </c>
      <c r="E180" s="117" t="str">
        <f ca="1">IF(C180="Total",SUM(E$6:E179)+0.0001,"")</f>
        <v/>
      </c>
      <c r="F180" s="75" t="str">
        <f ca="1">IF(C180="Total",SUM(F$5:F179)+0.0001,Calc!AB181)</f>
        <v/>
      </c>
      <c r="G180" s="167" t="str">
        <f t="shared" ca="1" si="8"/>
        <v/>
      </c>
      <c r="H180" s="173" t="str">
        <f ca="1">IF(C180="Total",SUM(H$6:H179)+0.0001,"")</f>
        <v/>
      </c>
      <c r="I180" s="178"/>
      <c r="J180" s="175">
        <f>Calc!AE181</f>
        <v>0</v>
      </c>
      <c r="K180" s="122">
        <f>Calc!AF181</f>
        <v>0</v>
      </c>
      <c r="L180" s="122" t="str">
        <f ca="1">IF(Calc!AG181="Gewinn","eventueller Verlust",Calc!AG181)</f>
        <v/>
      </c>
      <c r="M180" s="117" t="str">
        <f ca="1">IF(L180="Total",SUM(M$6:M179)+0.0001,"")</f>
        <v/>
      </c>
      <c r="N180" s="117" t="str">
        <f ca="1">IF(L180="Total",SUM(N$6:N179)+0.0001,"")</f>
        <v/>
      </c>
      <c r="O180" s="75" t="str">
        <f ca="1">IF(L180="Total",SUM(O$6:O179)+0.0001,Calc!AH181)</f>
        <v/>
      </c>
      <c r="P180" s="167" t="str">
        <f t="shared" ca="1" si="7"/>
        <v/>
      </c>
      <c r="Q180" s="117" t="str">
        <f ca="1">IF(L180="Total",SUM(Q$6:Q179)+0.0001,"")</f>
        <v/>
      </c>
      <c r="V180">
        <v>4</v>
      </c>
      <c r="W180">
        <f t="shared" ca="1" si="9"/>
        <v>0</v>
      </c>
    </row>
    <row r="181" spans="1:23" ht="15">
      <c r="A181" s="123">
        <f>Calc!Y182</f>
        <v>0</v>
      </c>
      <c r="B181" s="122">
        <f>Calc!Z182</f>
        <v>0</v>
      </c>
      <c r="C181" s="122" t="str">
        <f ca="1">IF(Calc!AA182="Verlust","eventueller Gewinn",Calc!AA182)</f>
        <v/>
      </c>
      <c r="D181" s="117" t="str">
        <f ca="1">IF(C181="Total",SUM(D$6:D180)+0.0001,"")</f>
        <v/>
      </c>
      <c r="E181" s="117" t="str">
        <f ca="1">IF(C181="Total",SUM(E$6:E180)+0.0001,"")</f>
        <v/>
      </c>
      <c r="F181" s="75" t="str">
        <f ca="1">IF(C181="Total",SUM(F$5:F180)+0.0001,Calc!AB182)</f>
        <v/>
      </c>
      <c r="G181" s="167" t="str">
        <f t="shared" ca="1" si="8"/>
        <v/>
      </c>
      <c r="H181" s="173" t="str">
        <f ca="1">IF(C181="Total",SUM(H$6:H180)+0.0001,"")</f>
        <v/>
      </c>
      <c r="I181" s="178"/>
      <c r="J181" s="175">
        <f>Calc!AE182</f>
        <v>0</v>
      </c>
      <c r="K181" s="122">
        <f>Calc!AF182</f>
        <v>0</v>
      </c>
      <c r="L181" s="122" t="str">
        <f ca="1">IF(Calc!AG182="Gewinn","eventueller Verlust",Calc!AG182)</f>
        <v/>
      </c>
      <c r="M181" s="117" t="str">
        <f ca="1">IF(L181="Total",SUM(M$6:M180)+0.0001,"")</f>
        <v/>
      </c>
      <c r="N181" s="117" t="str">
        <f ca="1">IF(L181="Total",SUM(N$6:N180)+0.0001,"")</f>
        <v/>
      </c>
      <c r="O181" s="75" t="str">
        <f ca="1">IF(L181="Total",SUM(O$6:O180)+0.0001,Calc!AH182)</f>
        <v/>
      </c>
      <c r="P181" s="167" t="str">
        <f t="shared" ca="1" si="7"/>
        <v/>
      </c>
      <c r="Q181" s="117" t="str">
        <f ca="1">IF(L181="Total",SUM(Q$6:Q180)+0.0001,"")</f>
        <v/>
      </c>
      <c r="V181">
        <v>4</v>
      </c>
      <c r="W181">
        <f t="shared" ca="1" si="9"/>
        <v>0</v>
      </c>
    </row>
    <row r="182" spans="1:23" ht="15">
      <c r="A182" s="123">
        <f>Calc!Y183</f>
        <v>0</v>
      </c>
      <c r="B182" s="122">
        <f>Calc!Z183</f>
        <v>0</v>
      </c>
      <c r="C182" s="122" t="str">
        <f ca="1">IF(Calc!AA183="Verlust","eventueller Gewinn",Calc!AA183)</f>
        <v/>
      </c>
      <c r="D182" s="117" t="str">
        <f ca="1">IF(C182="Total",SUM(D$6:D181)+0.0001,"")</f>
        <v/>
      </c>
      <c r="E182" s="117" t="str">
        <f ca="1">IF(C182="Total",SUM(E$6:E181)+0.0001,"")</f>
        <v/>
      </c>
      <c r="F182" s="75" t="str">
        <f ca="1">IF(C182="Total",SUM(F$5:F181)+0.0001,Calc!AB183)</f>
        <v/>
      </c>
      <c r="G182" s="167" t="str">
        <f t="shared" ca="1" si="8"/>
        <v/>
      </c>
      <c r="H182" s="173" t="str">
        <f ca="1">IF(C182="Total",SUM(H$6:H181)+0.0001,"")</f>
        <v/>
      </c>
      <c r="I182" s="178"/>
      <c r="J182" s="175">
        <f>Calc!AE183</f>
        <v>0</v>
      </c>
      <c r="K182" s="122">
        <f>Calc!AF183</f>
        <v>0</v>
      </c>
      <c r="L182" s="122" t="str">
        <f ca="1">IF(Calc!AG183="Gewinn","eventueller Verlust",Calc!AG183)</f>
        <v/>
      </c>
      <c r="M182" s="117" t="str">
        <f ca="1">IF(L182="Total",SUM(M$6:M181)+0.0001,"")</f>
        <v/>
      </c>
      <c r="N182" s="117" t="str">
        <f ca="1">IF(L182="Total",SUM(N$6:N181)+0.0001,"")</f>
        <v/>
      </c>
      <c r="O182" s="75" t="str">
        <f ca="1">IF(L182="Total",SUM(O$6:O181)+0.0001,Calc!AH183)</f>
        <v/>
      </c>
      <c r="P182" s="167" t="str">
        <f t="shared" ca="1" si="7"/>
        <v/>
      </c>
      <c r="Q182" s="117" t="str">
        <f ca="1">IF(L182="Total",SUM(Q$6:Q181)+0.0001,"")</f>
        <v/>
      </c>
      <c r="V182">
        <v>4</v>
      </c>
      <c r="W182">
        <f t="shared" ca="1" si="9"/>
        <v>0</v>
      </c>
    </row>
    <row r="183" spans="1:23" ht="15">
      <c r="A183" s="123">
        <f>Calc!Y184</f>
        <v>0</v>
      </c>
      <c r="B183" s="122">
        <f>Calc!Z184</f>
        <v>0</v>
      </c>
      <c r="C183" s="122" t="str">
        <f ca="1">IF(Calc!AA184="Verlust","eventueller Gewinn",Calc!AA184)</f>
        <v/>
      </c>
      <c r="D183" s="117" t="str">
        <f ca="1">IF(C183="Total",SUM(D$6:D182)+0.0001,"")</f>
        <v/>
      </c>
      <c r="E183" s="117" t="str">
        <f ca="1">IF(C183="Total",SUM(E$6:E182)+0.0001,"")</f>
        <v/>
      </c>
      <c r="F183" s="75" t="str">
        <f ca="1">IF(C183="Total",SUM(F$5:F182)+0.0001,Calc!AB184)</f>
        <v/>
      </c>
      <c r="G183" s="167" t="str">
        <f t="shared" ca="1" si="8"/>
        <v/>
      </c>
      <c r="H183" s="173" t="str">
        <f ca="1">IF(C183="Total",SUM(H$6:H182)+0.0001,"")</f>
        <v/>
      </c>
      <c r="I183" s="178"/>
      <c r="J183" s="175">
        <f>Calc!AE184</f>
        <v>0</v>
      </c>
      <c r="K183" s="122">
        <f>Calc!AF184</f>
        <v>0</v>
      </c>
      <c r="L183" s="122" t="str">
        <f ca="1">IF(Calc!AG184="Gewinn","eventueller Verlust",Calc!AG184)</f>
        <v/>
      </c>
      <c r="M183" s="117" t="str">
        <f ca="1">IF(L183="Total",SUM(M$6:M182)+0.0001,"")</f>
        <v/>
      </c>
      <c r="N183" s="117" t="str">
        <f ca="1">IF(L183="Total",SUM(N$6:N182)+0.0001,"")</f>
        <v/>
      </c>
      <c r="O183" s="75" t="str">
        <f ca="1">IF(L183="Total",SUM(O$6:O182)+0.0001,Calc!AH184)</f>
        <v/>
      </c>
      <c r="P183" s="167" t="str">
        <f t="shared" ca="1" si="7"/>
        <v/>
      </c>
      <c r="Q183" s="117" t="str">
        <f ca="1">IF(L183="Total",SUM(Q$6:Q182)+0.0001,"")</f>
        <v/>
      </c>
      <c r="V183">
        <v>4</v>
      </c>
      <c r="W183">
        <f t="shared" ca="1" si="9"/>
        <v>0</v>
      </c>
    </row>
    <row r="184" spans="1:23" ht="15">
      <c r="A184" s="123">
        <f>Calc!Y185</f>
        <v>0</v>
      </c>
      <c r="B184" s="122">
        <f>Calc!Z185</f>
        <v>0</v>
      </c>
      <c r="C184" s="122" t="str">
        <f ca="1">IF(Calc!AA185="Verlust","eventueller Gewinn",Calc!AA185)</f>
        <v/>
      </c>
      <c r="D184" s="117" t="str">
        <f ca="1">IF(C184="Total",SUM(D$6:D183)+0.0001,"")</f>
        <v/>
      </c>
      <c r="E184" s="117" t="str">
        <f ca="1">IF(C184="Total",SUM(E$6:E183)+0.0001,"")</f>
        <v/>
      </c>
      <c r="F184" s="75" t="str">
        <f ca="1">IF(C184="Total",SUM(F$5:F183)+0.0001,Calc!AB185)</f>
        <v/>
      </c>
      <c r="G184" s="167" t="str">
        <f t="shared" ca="1" si="8"/>
        <v/>
      </c>
      <c r="H184" s="173" t="str">
        <f ca="1">IF(C184="Total",SUM(H$6:H183)+0.0001,"")</f>
        <v/>
      </c>
      <c r="I184" s="178"/>
      <c r="J184" s="175">
        <f>Calc!AE185</f>
        <v>0</v>
      </c>
      <c r="K184" s="122">
        <f>Calc!AF185</f>
        <v>0</v>
      </c>
      <c r="L184" s="122" t="str">
        <f ca="1">IF(Calc!AG185="Gewinn","eventueller Verlust",Calc!AG185)</f>
        <v/>
      </c>
      <c r="M184" s="117" t="str">
        <f ca="1">IF(L184="Total",SUM(M$6:M183)+0.0001,"")</f>
        <v/>
      </c>
      <c r="N184" s="117" t="str">
        <f ca="1">IF(L184="Total",SUM(N$6:N183)+0.0001,"")</f>
        <v/>
      </c>
      <c r="O184" s="75" t="str">
        <f ca="1">IF(L184="Total",SUM(O$6:O183)+0.0001,Calc!AH185)</f>
        <v/>
      </c>
      <c r="P184" s="167" t="str">
        <f t="shared" ca="1" si="7"/>
        <v/>
      </c>
      <c r="Q184" s="117" t="str">
        <f ca="1">IF(L184="Total",SUM(Q$6:Q183)+0.0001,"")</f>
        <v/>
      </c>
      <c r="V184">
        <v>4</v>
      </c>
      <c r="W184">
        <f t="shared" ca="1" si="9"/>
        <v>0</v>
      </c>
    </row>
    <row r="185" spans="1:23" ht="15">
      <c r="A185" s="123">
        <f>Calc!Y186</f>
        <v>0</v>
      </c>
      <c r="B185" s="122">
        <f>Calc!Z186</f>
        <v>0</v>
      </c>
      <c r="C185" s="122" t="str">
        <f ca="1">IF(Calc!AA186="Verlust","eventueller Gewinn",Calc!AA186)</f>
        <v/>
      </c>
      <c r="D185" s="117" t="str">
        <f ca="1">IF(C185="Total",SUM(D$6:D184)+0.0001,"")</f>
        <v/>
      </c>
      <c r="E185" s="117" t="str">
        <f ca="1">IF(C185="Total",SUM(E$6:E184)+0.0001,"")</f>
        <v/>
      </c>
      <c r="F185" s="75" t="str">
        <f ca="1">IF(C185="Total",SUM(F$5:F184)+0.0001,Calc!AB186)</f>
        <v/>
      </c>
      <c r="G185" s="167" t="str">
        <f t="shared" ca="1" si="8"/>
        <v/>
      </c>
      <c r="H185" s="173" t="str">
        <f ca="1">IF(C185="Total",SUM(H$6:H184)+0.0001,"")</f>
        <v/>
      </c>
      <c r="I185" s="178"/>
      <c r="J185" s="175">
        <f>Calc!AE186</f>
        <v>0</v>
      </c>
      <c r="K185" s="122">
        <f>Calc!AF186</f>
        <v>0</v>
      </c>
      <c r="L185" s="122" t="str">
        <f ca="1">IF(Calc!AG186="Gewinn","eventueller Verlust",Calc!AG186)</f>
        <v/>
      </c>
      <c r="M185" s="117" t="str">
        <f ca="1">IF(L185="Total",SUM(M$6:M184)+0.0001,"")</f>
        <v/>
      </c>
      <c r="N185" s="117" t="str">
        <f ca="1">IF(L185="Total",SUM(N$6:N184)+0.0001,"")</f>
        <v/>
      </c>
      <c r="O185" s="75" t="str">
        <f ca="1">IF(L185="Total",SUM(O$6:O184)+0.0001,Calc!AH186)</f>
        <v/>
      </c>
      <c r="P185" s="167" t="str">
        <f t="shared" ca="1" si="7"/>
        <v/>
      </c>
      <c r="Q185" s="117" t="str">
        <f ca="1">IF(L185="Total",SUM(Q$6:Q184)+0.0001,"")</f>
        <v/>
      </c>
      <c r="V185">
        <v>4</v>
      </c>
      <c r="W185">
        <f t="shared" ca="1" si="9"/>
        <v>0</v>
      </c>
    </row>
    <row r="186" spans="1:23" ht="15">
      <c r="A186" s="123">
        <f>Calc!Y187</f>
        <v>0</v>
      </c>
      <c r="B186" s="122">
        <f>Calc!Z187</f>
        <v>0</v>
      </c>
      <c r="C186" s="122" t="str">
        <f ca="1">IF(Calc!AA187="Verlust","eventueller Gewinn",Calc!AA187)</f>
        <v/>
      </c>
      <c r="D186" s="117" t="str">
        <f ca="1">IF(C186="Total",SUM(D$6:D185)+0.0001,"")</f>
        <v/>
      </c>
      <c r="E186" s="117" t="str">
        <f ca="1">IF(C186="Total",SUM(E$6:E185)+0.0001,"")</f>
        <v/>
      </c>
      <c r="F186" s="75" t="str">
        <f ca="1">IF(C186="Total",SUM(F$5:F185)+0.0001,Calc!AB187)</f>
        <v/>
      </c>
      <c r="G186" s="167" t="str">
        <f t="shared" ca="1" si="8"/>
        <v/>
      </c>
      <c r="H186" s="173" t="str">
        <f ca="1">IF(C186="Total",SUM(H$6:H185)+0.0001,"")</f>
        <v/>
      </c>
      <c r="I186" s="178"/>
      <c r="J186" s="175">
        <f>Calc!AE187</f>
        <v>0</v>
      </c>
      <c r="K186" s="122">
        <f>Calc!AF187</f>
        <v>0</v>
      </c>
      <c r="L186" s="122" t="str">
        <f ca="1">IF(Calc!AG187="Gewinn","eventueller Verlust",Calc!AG187)</f>
        <v/>
      </c>
      <c r="M186" s="117" t="str">
        <f ca="1">IF(L186="Total",SUM(M$6:M185)+0.0001,"")</f>
        <v/>
      </c>
      <c r="N186" s="117" t="str">
        <f ca="1">IF(L186="Total",SUM(N$6:N185)+0.0001,"")</f>
        <v/>
      </c>
      <c r="O186" s="75" t="str">
        <f ca="1">IF(L186="Total",SUM(O$6:O185)+0.0001,Calc!AH187)</f>
        <v/>
      </c>
      <c r="P186" s="167" t="str">
        <f t="shared" ca="1" si="7"/>
        <v/>
      </c>
      <c r="Q186" s="117" t="str">
        <f ca="1">IF(L186="Total",SUM(Q$6:Q185)+0.0001,"")</f>
        <v/>
      </c>
      <c r="V186">
        <v>4</v>
      </c>
      <c r="W186">
        <f t="shared" ca="1" si="9"/>
        <v>0</v>
      </c>
    </row>
    <row r="187" spans="1:23" ht="15">
      <c r="A187" s="123">
        <f>Calc!Y188</f>
        <v>0</v>
      </c>
      <c r="B187" s="122">
        <f>Calc!Z188</f>
        <v>0</v>
      </c>
      <c r="C187" s="122" t="str">
        <f ca="1">IF(Calc!AA188="Verlust","eventueller Gewinn",Calc!AA188)</f>
        <v/>
      </c>
      <c r="D187" s="117" t="str">
        <f ca="1">IF(C187="Total",SUM(D$6:D186)+0.0001,"")</f>
        <v/>
      </c>
      <c r="E187" s="117" t="str">
        <f ca="1">IF(C187="Total",SUM(E$6:E186)+0.0001,"")</f>
        <v/>
      </c>
      <c r="F187" s="75" t="str">
        <f ca="1">IF(C187="Total",SUM(F$5:F186)+0.0001,Calc!AB188)</f>
        <v/>
      </c>
      <c r="G187" s="167" t="str">
        <f t="shared" ca="1" si="8"/>
        <v/>
      </c>
      <c r="H187" s="173" t="str">
        <f ca="1">IF(C187="Total",SUM(H$6:H186)+0.0001,"")</f>
        <v/>
      </c>
      <c r="I187" s="178"/>
      <c r="J187" s="175">
        <f>Calc!AE188</f>
        <v>0</v>
      </c>
      <c r="K187" s="122">
        <f>Calc!AF188</f>
        <v>0</v>
      </c>
      <c r="L187" s="122" t="str">
        <f ca="1">IF(Calc!AG188="Gewinn","eventueller Verlust",Calc!AG188)</f>
        <v/>
      </c>
      <c r="M187" s="117" t="str">
        <f ca="1">IF(L187="Total",SUM(M$6:M186)+0.0001,"")</f>
        <v/>
      </c>
      <c r="N187" s="117" t="str">
        <f ca="1">IF(L187="Total",SUM(N$6:N186)+0.0001,"")</f>
        <v/>
      </c>
      <c r="O187" s="75" t="str">
        <f ca="1">IF(L187="Total",SUM(O$6:O186)+0.0001,Calc!AH188)</f>
        <v/>
      </c>
      <c r="P187" s="167" t="str">
        <f t="shared" ca="1" si="7"/>
        <v/>
      </c>
      <c r="Q187" s="117" t="str">
        <f ca="1">IF(L187="Total",SUM(Q$6:Q186)+0.0001,"")</f>
        <v/>
      </c>
      <c r="V187">
        <v>4</v>
      </c>
      <c r="W187">
        <f t="shared" ca="1" si="9"/>
        <v>0</v>
      </c>
    </row>
    <row r="188" spans="1:23" ht="15">
      <c r="A188" s="123">
        <f>Calc!Y189</f>
        <v>0</v>
      </c>
      <c r="B188" s="122">
        <f>Calc!Z189</f>
        <v>0</v>
      </c>
      <c r="C188" s="122" t="str">
        <f ca="1">IF(Calc!AA189="Verlust","eventueller Gewinn",Calc!AA189)</f>
        <v/>
      </c>
      <c r="D188" s="117" t="str">
        <f ca="1">IF(C188="Total",SUM(D$6:D187)+0.0001,"")</f>
        <v/>
      </c>
      <c r="E188" s="117" t="str">
        <f ca="1">IF(C188="Total",SUM(E$6:E187)+0.0001,"")</f>
        <v/>
      </c>
      <c r="F188" s="75" t="str">
        <f ca="1">IF(C188="Total",SUM(F$5:F187)+0.0001,Calc!AB189)</f>
        <v/>
      </c>
      <c r="G188" s="167" t="str">
        <f t="shared" ca="1" si="8"/>
        <v/>
      </c>
      <c r="H188" s="173" t="str">
        <f ca="1">IF(C188="Total",SUM(H$6:H187)+0.0001,"")</f>
        <v/>
      </c>
      <c r="I188" s="178"/>
      <c r="J188" s="175">
        <f>Calc!AE189</f>
        <v>0</v>
      </c>
      <c r="K188" s="122">
        <f>Calc!AF189</f>
        <v>0</v>
      </c>
      <c r="L188" s="122" t="str">
        <f ca="1">IF(Calc!AG189="Gewinn","eventueller Verlust",Calc!AG189)</f>
        <v/>
      </c>
      <c r="M188" s="117" t="str">
        <f ca="1">IF(L188="Total",SUM(M$6:M187)+0.0001,"")</f>
        <v/>
      </c>
      <c r="N188" s="117" t="str">
        <f ca="1">IF(L188="Total",SUM(N$6:N187)+0.0001,"")</f>
        <v/>
      </c>
      <c r="O188" s="75" t="str">
        <f ca="1">IF(L188="Total",SUM(O$6:O187)+0.0001,Calc!AH189)</f>
        <v/>
      </c>
      <c r="P188" s="167" t="str">
        <f t="shared" ca="1" si="7"/>
        <v/>
      </c>
      <c r="Q188" s="117" t="str">
        <f ca="1">IF(L188="Total",SUM(Q$6:Q187)+0.0001,"")</f>
        <v/>
      </c>
      <c r="V188">
        <v>4</v>
      </c>
      <c r="W188">
        <f t="shared" ca="1" si="9"/>
        <v>0</v>
      </c>
    </row>
    <row r="189" spans="1:23" ht="15">
      <c r="A189" s="123">
        <f>Calc!Y190</f>
        <v>0</v>
      </c>
      <c r="B189" s="122">
        <f>Calc!Z190</f>
        <v>0</v>
      </c>
      <c r="C189" s="122" t="str">
        <f ca="1">IF(Calc!AA190="Verlust","eventueller Gewinn",Calc!AA190)</f>
        <v/>
      </c>
      <c r="D189" s="117" t="str">
        <f ca="1">IF(C189="Total",SUM(D$6:D188)+0.0001,"")</f>
        <v/>
      </c>
      <c r="E189" s="117" t="str">
        <f ca="1">IF(C189="Total",SUM(E$6:E188)+0.0001,"")</f>
        <v/>
      </c>
      <c r="F189" s="75" t="str">
        <f ca="1">IF(C189="Total",SUM(F$5:F188)+0.0001,Calc!AB190)</f>
        <v/>
      </c>
      <c r="G189" s="167" t="str">
        <f t="shared" ca="1" si="8"/>
        <v/>
      </c>
      <c r="H189" s="173" t="str">
        <f ca="1">IF(C189="Total",SUM(H$6:H188)+0.0001,"")</f>
        <v/>
      </c>
      <c r="I189" s="178"/>
      <c r="J189" s="175">
        <f>Calc!AE190</f>
        <v>0</v>
      </c>
      <c r="K189" s="122">
        <f>Calc!AF190</f>
        <v>0</v>
      </c>
      <c r="L189" s="122" t="str">
        <f ca="1">IF(Calc!AG190="Gewinn","eventueller Verlust",Calc!AG190)</f>
        <v/>
      </c>
      <c r="M189" s="117" t="str">
        <f ca="1">IF(L189="Total",SUM(M$6:M188)+0.0001,"")</f>
        <v/>
      </c>
      <c r="N189" s="117" t="str">
        <f ca="1">IF(L189="Total",SUM(N$6:N188)+0.0001,"")</f>
        <v/>
      </c>
      <c r="O189" s="75" t="str">
        <f ca="1">IF(L189="Total",SUM(O$6:O188)+0.0001,Calc!AH190)</f>
        <v/>
      </c>
      <c r="P189" s="167" t="str">
        <f t="shared" ca="1" si="7"/>
        <v/>
      </c>
      <c r="Q189" s="117" t="str">
        <f ca="1">IF(L189="Total",SUM(Q$6:Q188)+0.0001,"")</f>
        <v/>
      </c>
      <c r="V189">
        <v>4</v>
      </c>
      <c r="W189">
        <f t="shared" ca="1" si="9"/>
        <v>0</v>
      </c>
    </row>
    <row r="190" spans="1:23" ht="15">
      <c r="A190" s="123">
        <f>Calc!Y191</f>
        <v>0</v>
      </c>
      <c r="B190" s="122">
        <f>Calc!Z191</f>
        <v>0</v>
      </c>
      <c r="C190" s="122" t="str">
        <f ca="1">IF(Calc!AA191="Verlust","eventueller Gewinn",Calc!AA191)</f>
        <v/>
      </c>
      <c r="D190" s="117" t="str">
        <f ca="1">IF(C190="Total",SUM(D$6:D189)+0.0001,"")</f>
        <v/>
      </c>
      <c r="E190" s="117" t="str">
        <f ca="1">IF(C190="Total",SUM(E$6:E189)+0.0001,"")</f>
        <v/>
      </c>
      <c r="F190" s="75" t="str">
        <f ca="1">IF(C190="Total",SUM(F$5:F189)+0.0001,Calc!AB191)</f>
        <v/>
      </c>
      <c r="G190" s="167" t="str">
        <f t="shared" ca="1" si="8"/>
        <v/>
      </c>
      <c r="H190" s="173" t="str">
        <f ca="1">IF(C190="Total",SUM(H$6:H189)+0.0001,"")</f>
        <v/>
      </c>
      <c r="I190" s="178"/>
      <c r="J190" s="175">
        <f>Calc!AE191</f>
        <v>0</v>
      </c>
      <c r="K190" s="122">
        <f>Calc!AF191</f>
        <v>0</v>
      </c>
      <c r="L190" s="122" t="str">
        <f ca="1">IF(Calc!AG191="Gewinn","eventueller Verlust",Calc!AG191)</f>
        <v/>
      </c>
      <c r="M190" s="117" t="str">
        <f ca="1">IF(L190="Total",SUM(M$6:M189)+0.0001,"")</f>
        <v/>
      </c>
      <c r="N190" s="117" t="str">
        <f ca="1">IF(L190="Total",SUM(N$6:N189)+0.0001,"")</f>
        <v/>
      </c>
      <c r="O190" s="75" t="str">
        <f ca="1">IF(L190="Total",SUM(O$6:O189)+0.0001,Calc!AH191)</f>
        <v/>
      </c>
      <c r="P190" s="167" t="str">
        <f t="shared" ca="1" si="7"/>
        <v/>
      </c>
      <c r="Q190" s="117" t="str">
        <f ca="1">IF(L190="Total",SUM(Q$6:Q189)+0.0001,"")</f>
        <v/>
      </c>
      <c r="V190">
        <v>4</v>
      </c>
      <c r="W190">
        <f t="shared" ca="1" si="9"/>
        <v>0</v>
      </c>
    </row>
    <row r="191" spans="1:23" ht="15">
      <c r="A191" s="123">
        <f>Calc!Y192</f>
        <v>0</v>
      </c>
      <c r="B191" s="122">
        <f>Calc!Z192</f>
        <v>0</v>
      </c>
      <c r="C191" s="122" t="str">
        <f ca="1">IF(Calc!AA192="Verlust","eventueller Gewinn",Calc!AA192)</f>
        <v/>
      </c>
      <c r="D191" s="117" t="str">
        <f ca="1">IF(C191="Total",SUM(D$6:D190)+0.0001,"")</f>
        <v/>
      </c>
      <c r="E191" s="117" t="str">
        <f ca="1">IF(C191="Total",SUM(E$6:E190)+0.0001,"")</f>
        <v/>
      </c>
      <c r="F191" s="75" t="str">
        <f ca="1">IF(C191="Total",SUM(F$5:F190)+0.0001,Calc!AB192)</f>
        <v/>
      </c>
      <c r="G191" s="167" t="str">
        <f t="shared" ca="1" si="8"/>
        <v/>
      </c>
      <c r="H191" s="173" t="str">
        <f ca="1">IF(C191="Total",SUM(H$6:H190)+0.0001,"")</f>
        <v/>
      </c>
      <c r="I191" s="178"/>
      <c r="J191" s="175">
        <f>Calc!AE192</f>
        <v>0</v>
      </c>
      <c r="K191" s="122">
        <f>Calc!AF192</f>
        <v>0</v>
      </c>
      <c r="L191" s="122" t="str">
        <f ca="1">IF(Calc!AG192="Gewinn","eventueller Verlust",Calc!AG192)</f>
        <v/>
      </c>
      <c r="M191" s="117" t="str">
        <f ca="1">IF(L191="Total",SUM(M$6:M190)+0.0001,"")</f>
        <v/>
      </c>
      <c r="N191" s="117" t="str">
        <f ca="1">IF(L191="Total",SUM(N$6:N190)+0.0001,"")</f>
        <v/>
      </c>
      <c r="O191" s="75" t="str">
        <f ca="1">IF(L191="Total",SUM(O$6:O190)+0.0001,Calc!AH192)</f>
        <v/>
      </c>
      <c r="P191" s="167" t="str">
        <f t="shared" ca="1" si="7"/>
        <v/>
      </c>
      <c r="Q191" s="117" t="str">
        <f ca="1">IF(L191="Total",SUM(Q$6:Q190)+0.0001,"")</f>
        <v/>
      </c>
      <c r="V191">
        <v>4</v>
      </c>
      <c r="W191">
        <f t="shared" ca="1" si="9"/>
        <v>0</v>
      </c>
    </row>
    <row r="192" spans="1:23" ht="15">
      <c r="A192" s="123">
        <f>Calc!Y193</f>
        <v>0</v>
      </c>
      <c r="B192" s="122">
        <f>Calc!Z193</f>
        <v>0</v>
      </c>
      <c r="C192" s="122" t="str">
        <f ca="1">IF(Calc!AA193="Verlust","eventueller Gewinn",Calc!AA193)</f>
        <v/>
      </c>
      <c r="D192" s="117" t="str">
        <f ca="1">IF(C192="Total",SUM(D$6:D191)+0.0001,"")</f>
        <v/>
      </c>
      <c r="E192" s="117" t="str">
        <f ca="1">IF(C192="Total",SUM(E$6:E191)+0.0001,"")</f>
        <v/>
      </c>
      <c r="F192" s="75" t="str">
        <f ca="1">IF(C192="Total",SUM(F$5:F191)+0.0001,Calc!AB193)</f>
        <v/>
      </c>
      <c r="G192" s="167" t="str">
        <f t="shared" ca="1" si="8"/>
        <v/>
      </c>
      <c r="H192" s="173" t="str">
        <f ca="1">IF(C192="Total",SUM(H$6:H191)+0.0001,"")</f>
        <v/>
      </c>
      <c r="I192" s="178"/>
      <c r="J192" s="175">
        <f>Calc!AE193</f>
        <v>0</v>
      </c>
      <c r="K192" s="122">
        <f>Calc!AF193</f>
        <v>0</v>
      </c>
      <c r="L192" s="122" t="str">
        <f ca="1">IF(Calc!AG193="Gewinn","eventueller Verlust",Calc!AG193)</f>
        <v/>
      </c>
      <c r="M192" s="117" t="str">
        <f ca="1">IF(L192="Total",SUM(M$6:M191)+0.0001,"")</f>
        <v/>
      </c>
      <c r="N192" s="117" t="str">
        <f ca="1">IF(L192="Total",SUM(N$6:N191)+0.0001,"")</f>
        <v/>
      </c>
      <c r="O192" s="75" t="str">
        <f ca="1">IF(L192="Total",SUM(O$6:O191)+0.0001,Calc!AH193)</f>
        <v/>
      </c>
      <c r="P192" s="167" t="str">
        <f t="shared" ca="1" si="7"/>
        <v/>
      </c>
      <c r="Q192" s="117" t="str">
        <f ca="1">IF(L192="Total",SUM(Q$6:Q191)+0.0001,"")</f>
        <v/>
      </c>
      <c r="V192">
        <v>4</v>
      </c>
      <c r="W192">
        <f t="shared" ca="1" si="9"/>
        <v>0</v>
      </c>
    </row>
    <row r="193" spans="1:23" ht="15">
      <c r="A193" s="123">
        <f>Calc!Y194</f>
        <v>0</v>
      </c>
      <c r="B193" s="122">
        <f>Calc!Z194</f>
        <v>0</v>
      </c>
      <c r="C193" s="122" t="str">
        <f ca="1">IF(Calc!AA194="Verlust","eventueller Gewinn",Calc!AA194)</f>
        <v/>
      </c>
      <c r="D193" s="117" t="str">
        <f ca="1">IF(C193="Total",SUM(D$6:D192)+0.0001,"")</f>
        <v/>
      </c>
      <c r="E193" s="117" t="str">
        <f ca="1">IF(C193="Total",SUM(E$6:E192)+0.0001,"")</f>
        <v/>
      </c>
      <c r="F193" s="75" t="str">
        <f ca="1">IF(C193="Total",SUM(F$5:F192)+0.0001,Calc!AB194)</f>
        <v/>
      </c>
      <c r="G193" s="167" t="str">
        <f t="shared" ca="1" si="8"/>
        <v/>
      </c>
      <c r="H193" s="173" t="str">
        <f ca="1">IF(C193="Total",SUM(H$6:H192)+0.0001,"")</f>
        <v/>
      </c>
      <c r="I193" s="178"/>
      <c r="J193" s="175">
        <f>Calc!AE194</f>
        <v>0</v>
      </c>
      <c r="K193" s="122">
        <f>Calc!AF194</f>
        <v>0</v>
      </c>
      <c r="L193" s="122" t="str">
        <f ca="1">IF(Calc!AG194="Gewinn","eventueller Verlust",Calc!AG194)</f>
        <v/>
      </c>
      <c r="M193" s="117" t="str">
        <f ca="1">IF(L193="Total",SUM(M$6:M192)+0.0001,"")</f>
        <v/>
      </c>
      <c r="N193" s="117" t="str">
        <f ca="1">IF(L193="Total",SUM(N$6:N192)+0.0001,"")</f>
        <v/>
      </c>
      <c r="O193" s="75" t="str">
        <f ca="1">IF(L193="Total",SUM(O$6:O192)+0.0001,Calc!AH194)</f>
        <v/>
      </c>
      <c r="P193" s="167" t="str">
        <f t="shared" ca="1" si="7"/>
        <v/>
      </c>
      <c r="Q193" s="117" t="str">
        <f ca="1">IF(L193="Total",SUM(Q$6:Q192)+0.0001,"")</f>
        <v/>
      </c>
      <c r="V193">
        <v>4</v>
      </c>
      <c r="W193">
        <f t="shared" ca="1" si="9"/>
        <v>0</v>
      </c>
    </row>
    <row r="194" spans="1:23" ht="15">
      <c r="A194" s="123">
        <f>Calc!Y195</f>
        <v>0</v>
      </c>
      <c r="B194" s="122">
        <f>Calc!Z195</f>
        <v>0</v>
      </c>
      <c r="C194" s="122" t="str">
        <f ca="1">IF(Calc!AA195="Verlust","eventueller Gewinn",Calc!AA195)</f>
        <v/>
      </c>
      <c r="D194" s="117" t="str">
        <f ca="1">IF(C194="Total",SUM(D$6:D193)+0.0001,"")</f>
        <v/>
      </c>
      <c r="E194" s="117" t="str">
        <f ca="1">IF(C194="Total",SUM(E$6:E193)+0.0001,"")</f>
        <v/>
      </c>
      <c r="F194" s="75" t="str">
        <f ca="1">IF(C194="Total",SUM(F$5:F193)+0.0001,Calc!AB195)</f>
        <v/>
      </c>
      <c r="G194" s="167" t="str">
        <f t="shared" ca="1" si="8"/>
        <v/>
      </c>
      <c r="H194" s="173" t="str">
        <f ca="1">IF(C194="Total",SUM(H$6:H193)+0.0001,"")</f>
        <v/>
      </c>
      <c r="I194" s="178"/>
      <c r="J194" s="175">
        <f>Calc!AE195</f>
        <v>0</v>
      </c>
      <c r="K194" s="122">
        <f>Calc!AF195</f>
        <v>0</v>
      </c>
      <c r="L194" s="122" t="str">
        <f ca="1">IF(Calc!AG195="Gewinn","eventueller Verlust",Calc!AG195)</f>
        <v/>
      </c>
      <c r="M194" s="117" t="str">
        <f ca="1">IF(L194="Total",SUM(M$6:M193)+0.0001,"")</f>
        <v/>
      </c>
      <c r="N194" s="117" t="str">
        <f ca="1">IF(L194="Total",SUM(N$6:N193)+0.0001,"")</f>
        <v/>
      </c>
      <c r="O194" s="75" t="str">
        <f ca="1">IF(L194="Total",SUM(O$6:O193)+0.0001,Calc!AH195)</f>
        <v/>
      </c>
      <c r="P194" s="167" t="str">
        <f t="shared" ca="1" si="7"/>
        <v/>
      </c>
      <c r="Q194" s="117" t="str">
        <f ca="1">IF(L194="Total",SUM(Q$6:Q193)+0.0001,"")</f>
        <v/>
      </c>
      <c r="V194">
        <v>4</v>
      </c>
      <c r="W194">
        <f t="shared" ca="1" si="9"/>
        <v>0</v>
      </c>
    </row>
    <row r="195" spans="1:23" ht="15">
      <c r="A195" s="123">
        <f>Calc!Y196</f>
        <v>0</v>
      </c>
      <c r="B195" s="122">
        <f>Calc!Z196</f>
        <v>0</v>
      </c>
      <c r="C195" s="122" t="str">
        <f ca="1">IF(Calc!AA196="Verlust","eventueller Gewinn",Calc!AA196)</f>
        <v/>
      </c>
      <c r="D195" s="117" t="str">
        <f ca="1">IF(C195="Total",SUM(D$6:D194)+0.0001,"")</f>
        <v/>
      </c>
      <c r="E195" s="117" t="str">
        <f ca="1">IF(C195="Total",SUM(E$6:E194)+0.0001,"")</f>
        <v/>
      </c>
      <c r="F195" s="75" t="str">
        <f ca="1">IF(C195="Total",SUM(F$5:F194)+0.0001,Calc!AB196)</f>
        <v/>
      </c>
      <c r="G195" s="167" t="str">
        <f t="shared" ca="1" si="8"/>
        <v/>
      </c>
      <c r="H195" s="173" t="str">
        <f ca="1">IF(C195="Total",SUM(H$6:H194)+0.0001,"")</f>
        <v/>
      </c>
      <c r="I195" s="178"/>
      <c r="J195" s="175">
        <f>Calc!AE196</f>
        <v>0</v>
      </c>
      <c r="K195" s="122">
        <f>Calc!AF196</f>
        <v>0</v>
      </c>
      <c r="L195" s="122" t="str">
        <f ca="1">IF(Calc!AG196="Gewinn","eventueller Verlust",Calc!AG196)</f>
        <v/>
      </c>
      <c r="M195" s="117" t="str">
        <f ca="1">IF(L195="Total",SUM(M$6:M194)+0.0001,"")</f>
        <v/>
      </c>
      <c r="N195" s="117" t="str">
        <f ca="1">IF(L195="Total",SUM(N$6:N194)+0.0001,"")</f>
        <v/>
      </c>
      <c r="O195" s="75" t="str">
        <f ca="1">IF(L195="Total",SUM(O$6:O194)+0.0001,Calc!AH196)</f>
        <v/>
      </c>
      <c r="P195" s="167" t="str">
        <f t="shared" ca="1" si="7"/>
        <v/>
      </c>
      <c r="Q195" s="117" t="str">
        <f ca="1">IF(L195="Total",SUM(Q$6:Q194)+0.0001,"")</f>
        <v/>
      </c>
      <c r="V195">
        <v>4</v>
      </c>
      <c r="W195">
        <f t="shared" ca="1" si="9"/>
        <v>0</v>
      </c>
    </row>
    <row r="196" spans="1:23" ht="15">
      <c r="A196" s="123">
        <f>Calc!Y197</f>
        <v>0</v>
      </c>
      <c r="B196" s="122">
        <f>Calc!Z197</f>
        <v>0</v>
      </c>
      <c r="C196" s="122" t="str">
        <f ca="1">IF(Calc!AA197="Verlust","eventueller Gewinn",Calc!AA197)</f>
        <v/>
      </c>
      <c r="D196" s="117" t="str">
        <f ca="1">IF(C196="Total",SUM(D$6:D195)+0.0001,"")</f>
        <v/>
      </c>
      <c r="E196" s="117" t="str">
        <f ca="1">IF(C196="Total",SUM(E$6:E195)+0.0001,"")</f>
        <v/>
      </c>
      <c r="F196" s="75" t="str">
        <f ca="1">IF(C196="Total",SUM(F$5:F195)+0.0001,Calc!AB197)</f>
        <v/>
      </c>
      <c r="G196" s="167" t="str">
        <f t="shared" ca="1" si="8"/>
        <v/>
      </c>
      <c r="H196" s="173" t="str">
        <f ca="1">IF(C196="Total",SUM(H$6:H195)+0.0001,"")</f>
        <v/>
      </c>
      <c r="I196" s="178"/>
      <c r="J196" s="175">
        <f>Calc!AE197</f>
        <v>0</v>
      </c>
      <c r="K196" s="122">
        <f>Calc!AF197</f>
        <v>0</v>
      </c>
      <c r="L196" s="122" t="str">
        <f ca="1">IF(Calc!AG197="Gewinn","eventueller Verlust",Calc!AG197)</f>
        <v/>
      </c>
      <c r="M196" s="117" t="str">
        <f ca="1">IF(L196="Total",SUM(M$6:M195)+0.0001,"")</f>
        <v/>
      </c>
      <c r="N196" s="117" t="str">
        <f ca="1">IF(L196="Total",SUM(N$6:N195)+0.0001,"")</f>
        <v/>
      </c>
      <c r="O196" s="75" t="str">
        <f ca="1">IF(L196="Total",SUM(O$6:O195)+0.0001,Calc!AH197)</f>
        <v/>
      </c>
      <c r="P196" s="167" t="str">
        <f t="shared" ca="1" si="7"/>
        <v/>
      </c>
      <c r="Q196" s="117" t="str">
        <f ca="1">IF(L196="Total",SUM(Q$6:Q195)+0.0001,"")</f>
        <v/>
      </c>
      <c r="V196">
        <v>4</v>
      </c>
      <c r="W196">
        <f t="shared" ca="1" si="9"/>
        <v>0</v>
      </c>
    </row>
    <row r="197" spans="1:23" ht="15">
      <c r="A197" s="123">
        <f>Calc!Y198</f>
        <v>0</v>
      </c>
      <c r="B197" s="122">
        <f>Calc!Z198</f>
        <v>0</v>
      </c>
      <c r="C197" s="122" t="str">
        <f ca="1">IF(Calc!AA198="Verlust","eventueller Gewinn",Calc!AA198)</f>
        <v/>
      </c>
      <c r="D197" s="117" t="str">
        <f ca="1">IF(C197="Total",SUM(D$6:D196)+0.0001,"")</f>
        <v/>
      </c>
      <c r="E197" s="117" t="str">
        <f ca="1">IF(C197="Total",SUM(E$6:E196)+0.0001,"")</f>
        <v/>
      </c>
      <c r="F197" s="75" t="str">
        <f ca="1">IF(C197="Total",SUM(F$5:F196)+0.0001,Calc!AB198)</f>
        <v/>
      </c>
      <c r="G197" s="167" t="str">
        <f t="shared" ca="1" si="8"/>
        <v/>
      </c>
      <c r="H197" s="173" t="str">
        <f ca="1">IF(C197="Total",SUM(H$6:H196)+0.0001,"")</f>
        <v/>
      </c>
      <c r="I197" s="178"/>
      <c r="J197" s="175">
        <f>Calc!AE198</f>
        <v>0</v>
      </c>
      <c r="K197" s="122">
        <f>Calc!AF198</f>
        <v>0</v>
      </c>
      <c r="L197" s="122" t="str">
        <f ca="1">IF(Calc!AG198="Gewinn","eventueller Verlust",Calc!AG198)</f>
        <v/>
      </c>
      <c r="M197" s="117" t="str">
        <f ca="1">IF(L197="Total",SUM(M$6:M196)+0.0001,"")</f>
        <v/>
      </c>
      <c r="N197" s="117" t="str">
        <f ca="1">IF(L197="Total",SUM(N$6:N196)+0.0001,"")</f>
        <v/>
      </c>
      <c r="O197" s="75" t="str">
        <f ca="1">IF(L197="Total",SUM(O$6:O196)+0.0001,Calc!AH198)</f>
        <v/>
      </c>
      <c r="P197" s="167" t="str">
        <f t="shared" ca="1" si="7"/>
        <v/>
      </c>
      <c r="Q197" s="117" t="str">
        <f ca="1">IF(L197="Total",SUM(Q$6:Q196)+0.0001,"")</f>
        <v/>
      </c>
      <c r="V197">
        <v>4</v>
      </c>
      <c r="W197">
        <f t="shared" ca="1" si="9"/>
        <v>0</v>
      </c>
    </row>
    <row r="198" spans="1:23" ht="15">
      <c r="A198" s="123">
        <f>Calc!Y199</f>
        <v>0</v>
      </c>
      <c r="B198" s="122">
        <f>Calc!Z199</f>
        <v>0</v>
      </c>
      <c r="C198" s="122" t="str">
        <f ca="1">IF(Calc!AA199="Verlust","eventueller Gewinn",Calc!AA199)</f>
        <v/>
      </c>
      <c r="D198" s="117" t="str">
        <f ca="1">IF(C198="Total",SUM(D$6:D197)+0.0001,"")</f>
        <v/>
      </c>
      <c r="E198" s="117" t="str">
        <f ca="1">IF(C198="Total",SUM(E$6:E197)+0.0001,"")</f>
        <v/>
      </c>
      <c r="F198" s="75" t="str">
        <f ca="1">IF(C198="Total",SUM(F$5:F197)+0.0001,Calc!AB199)</f>
        <v/>
      </c>
      <c r="G198" s="167" t="str">
        <f t="shared" ca="1" si="8"/>
        <v/>
      </c>
      <c r="H198" s="173" t="str">
        <f ca="1">IF(C198="Total",SUM(H$6:H197)+0.0001,"")</f>
        <v/>
      </c>
      <c r="I198" s="178"/>
      <c r="J198" s="175">
        <f>Calc!AE199</f>
        <v>0</v>
      </c>
      <c r="K198" s="122">
        <f>Calc!AF199</f>
        <v>0</v>
      </c>
      <c r="L198" s="122" t="str">
        <f ca="1">IF(Calc!AG199="Gewinn","eventueller Verlust",Calc!AG199)</f>
        <v/>
      </c>
      <c r="M198" s="117" t="str">
        <f ca="1">IF(L198="Total",SUM(M$6:M197)+0.0001,"")</f>
        <v/>
      </c>
      <c r="N198" s="117" t="str">
        <f ca="1">IF(L198="Total",SUM(N$6:N197)+0.0001,"")</f>
        <v/>
      </c>
      <c r="O198" s="75" t="str">
        <f ca="1">IF(L198="Total",SUM(O$6:O197)+0.0001,Calc!AH199)</f>
        <v/>
      </c>
      <c r="P198" s="167" t="str">
        <f ca="1">IF(N198&lt;&gt;"",(O198-N198)/N198,"")</f>
        <v/>
      </c>
      <c r="Q198" s="117" t="str">
        <f ca="1">IF(L198="Total",SUM(Q$6:Q197)+0.0001,"")</f>
        <v/>
      </c>
      <c r="V198">
        <v>4</v>
      </c>
      <c r="W198">
        <f t="shared" ca="1" si="9"/>
        <v>0</v>
      </c>
    </row>
    <row r="199" spans="1:23">
      <c r="D199" s="118"/>
      <c r="E199" s="118"/>
      <c r="H199" s="118"/>
      <c r="I199" s="179"/>
      <c r="M199" s="118"/>
      <c r="N199" s="118"/>
      <c r="O199" s="118"/>
      <c r="Q199" s="118"/>
      <c r="W199">
        <f ca="1">SUM(W6:W198)*2</f>
        <v>2</v>
      </c>
    </row>
    <row r="200" spans="1:23">
      <c r="D200" s="118"/>
      <c r="E200" s="118"/>
      <c r="H200" s="118"/>
      <c r="I200" s="118"/>
      <c r="M200" s="118"/>
      <c r="N200" s="118"/>
      <c r="O200" s="118"/>
      <c r="Q200" s="118"/>
    </row>
    <row r="201" spans="1:23">
      <c r="D201" s="109">
        <f ca="1">SUM(D6:D200)/2+0.00005</f>
        <v>1E-4</v>
      </c>
      <c r="E201" s="109">
        <f ca="1">SUM(E6:E200)/2+0.00005</f>
        <v>1E-4</v>
      </c>
      <c r="F201" s="109">
        <f ca="1">SUM(F6:F200)/2+0.00005</f>
        <v>1E-4</v>
      </c>
      <c r="G201" s="109"/>
      <c r="H201" s="109">
        <f ca="1">SUM(H6:H200)/2+0.00005</f>
        <v>1E-4</v>
      </c>
      <c r="I201" s="109"/>
      <c r="M201" s="109">
        <f ca="1">SUM(M6:M200)/2+0.00005</f>
        <v>1E-4</v>
      </c>
      <c r="N201" s="109">
        <f ca="1">SUM(N6:N200)/2+0.00005</f>
        <v>1E-4</v>
      </c>
      <c r="O201" s="109">
        <f ca="1">SUM(O6:O200)/2+0.00005</f>
        <v>1E-4</v>
      </c>
      <c r="P201" s="109">
        <f ca="1">SUM(P6:P200)/2+0.00005</f>
        <v>5.0000000000000002E-5</v>
      </c>
      <c r="Q201" s="109">
        <f ca="1">SUM(Q6:Q200)/2+0.00005</f>
        <v>1E-4</v>
      </c>
    </row>
  </sheetData>
  <sheetProtection sheet="1" formatCells="0" formatColumns="0" formatRows="0" insertColumns="0" insertRows="0" insertHyperlinks="0"/>
  <mergeCells count="7">
    <mergeCell ref="A4:H4"/>
    <mergeCell ref="J4:Q4"/>
    <mergeCell ref="A1:L2"/>
    <mergeCell ref="A3:H3"/>
    <mergeCell ref="J3:Q3"/>
    <mergeCell ref="O1:P1"/>
    <mergeCell ref="O2:Q2"/>
  </mergeCells>
  <phoneticPr fontId="4" type="noConversion"/>
  <conditionalFormatting sqref="E6:E11">
    <cfRule type="cellIs" dxfId="63" priority="34" stopIfTrue="1" operator="equal">
      <formula>"Total"</formula>
    </cfRule>
    <cfRule type="cellIs" dxfId="62" priority="35" stopIfTrue="1" operator="equal">
      <formula>$E$201</formula>
    </cfRule>
  </conditionalFormatting>
  <conditionalFormatting sqref="F6:F198">
    <cfRule type="cellIs" dxfId="61" priority="36" stopIfTrue="1" operator="equal">
      <formula>$F$201</formula>
    </cfRule>
  </conditionalFormatting>
  <conditionalFormatting sqref="H6:H198">
    <cfRule type="cellIs" dxfId="60" priority="38" stopIfTrue="1" operator="equal">
      <formula>H$201</formula>
    </cfRule>
  </conditionalFormatting>
  <conditionalFormatting sqref="E12:E82">
    <cfRule type="cellIs" dxfId="59" priority="24" stopIfTrue="1" operator="equal">
      <formula>"Total"</formula>
    </cfRule>
    <cfRule type="cellIs" dxfId="58" priority="25" stopIfTrue="1" operator="equal">
      <formula>$E$201</formula>
    </cfRule>
  </conditionalFormatting>
  <conditionalFormatting sqref="Q6:Q198 M6:N198">
    <cfRule type="cellIs" dxfId="57" priority="19" stopIfTrue="1" operator="equal">
      <formula>M$201</formula>
    </cfRule>
  </conditionalFormatting>
  <conditionalFormatting sqref="J6:K198 A6:B198">
    <cfRule type="cellIs" dxfId="56" priority="8" stopIfTrue="1" operator="equal">
      <formula>0</formula>
    </cfRule>
  </conditionalFormatting>
  <conditionalFormatting sqref="C6:C198 L6:L198">
    <cfRule type="cellIs" dxfId="55" priority="9" stopIfTrue="1" operator="equal">
      <formula>"Total"</formula>
    </cfRule>
  </conditionalFormatting>
  <conditionalFormatting sqref="E83:E198">
    <cfRule type="cellIs" dxfId="54" priority="12" stopIfTrue="1" operator="equal">
      <formula>"Total"</formula>
    </cfRule>
    <cfRule type="cellIs" dxfId="53" priority="13" stopIfTrue="1" operator="equal">
      <formula>$E$201</formula>
    </cfRule>
  </conditionalFormatting>
  <conditionalFormatting sqref="O6:O198">
    <cfRule type="cellIs" dxfId="52" priority="17" stopIfTrue="1" operator="equal">
      <formula>$O$201</formula>
    </cfRule>
  </conditionalFormatting>
  <conditionalFormatting sqref="G6:G198">
    <cfRule type="cellIs" dxfId="51" priority="6" stopIfTrue="1" operator="greaterThan">
      <formula>0</formula>
    </cfRule>
  </conditionalFormatting>
  <conditionalFormatting sqref="P6:P198">
    <cfRule type="cellIs" dxfId="50" priority="2" stopIfTrue="1" operator="lessThan">
      <formula>0</formula>
    </cfRule>
  </conditionalFormatting>
  <conditionalFormatting sqref="D6:D198">
    <cfRule type="cellIs" dxfId="49" priority="11" stopIfTrue="1" operator="equal">
      <formula>$D$201</formula>
    </cfRule>
  </conditionalFormatting>
  <pageMargins left="0.59055118110236227" right="0.59055118110236227" top="0.39370078740157483" bottom="0.59055118110236227" header="0.51181102362204722" footer="0.31496062992125984"/>
  <pageSetup paperSize="9" scale="85" orientation="portrait" r:id="rId1"/>
  <headerFooter alignWithMargins="0">
    <oddFooter>&amp;L&amp;8Ausdruck vom &amp;D, &amp;T&amp;C&amp;8vereinsbuchhaltung.ch&amp;R&amp;8Seite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02"/>
  <sheetViews>
    <sheetView topLeftCell="B1" workbookViewId="0">
      <pane ySplit="7" topLeftCell="B8" activePane="bottomLeft" state="frozen"/>
      <selection pane="bottomLeft" activeCell="B2" sqref="B1:G2"/>
      <selection activeCell="B1" sqref="B1"/>
    </sheetView>
  </sheetViews>
  <sheetFormatPr defaultColWidth="11.42578125" defaultRowHeight="12.75"/>
  <cols>
    <col min="1" max="1" width="7" hidden="1" customWidth="1"/>
    <col min="2" max="2" width="6.5703125" customWidth="1"/>
    <col min="3" max="3" width="9.5703125" customWidth="1"/>
    <col min="4" max="4" width="5.5703125" customWidth="1"/>
    <col min="5" max="5" width="8.5703125" customWidth="1"/>
    <col min="6" max="6" width="3" customWidth="1"/>
    <col min="7" max="7" width="27.28515625" customWidth="1"/>
    <col min="8" max="9" width="20.5703125" customWidth="1"/>
    <col min="10" max="11" width="11.28515625" customWidth="1"/>
    <col min="12" max="12" width="12.85546875" customWidth="1"/>
    <col min="13" max="13" width="6.5703125" hidden="1" customWidth="1"/>
    <col min="14" max="14" width="9.28515625" hidden="1" customWidth="1"/>
    <col min="15" max="16" width="11.42578125" hidden="1" customWidth="1"/>
    <col min="17" max="17" width="12" hidden="1" customWidth="1"/>
    <col min="18" max="18" width="5.28515625" hidden="1" customWidth="1"/>
    <col min="19" max="24" width="11.42578125" hidden="1" customWidth="1"/>
    <col min="25" max="25" width="11.42578125" style="171" hidden="1" customWidth="1"/>
    <col min="26" max="32" width="11.42578125" hidden="1" customWidth="1"/>
    <col min="33" max="37" width="11.42578125" customWidth="1"/>
  </cols>
  <sheetData>
    <row r="1" spans="1:29" ht="108" customHeight="1">
      <c r="B1" s="303" t="str">
        <f>IF(AND(K2&lt;J2,K2&gt;0),"Bitte Hinweis im Feld L2 beachten.",IF(B38&lt;&gt;"",N15,IF(AND(Journal!F7&lt;&gt;"",B8="Total"),"Sollten im Kontoauszug Buchungen fehlen, prüfen Sie bitte die in den hellgelben Feldern unten eingegebenen Angaben. Sind auf diese korrekt, prüfen Sie bitte im Journal, ob jeder Buchungssatz ein Datum hat.",N14)))</f>
        <v>Dieser Kontoauszug hat auf einer Seite Platz.</v>
      </c>
      <c r="C1" s="304"/>
      <c r="D1" s="304"/>
      <c r="E1" s="305"/>
      <c r="F1" s="305"/>
      <c r="G1" s="289"/>
      <c r="H1" s="149" t="s">
        <v>278</v>
      </c>
      <c r="I1" s="149" t="s">
        <v>279</v>
      </c>
      <c r="J1" s="156" t="s">
        <v>280</v>
      </c>
      <c r="K1" s="157" t="s">
        <v>281</v>
      </c>
      <c r="L1" s="237" t="str">
        <f>VLOOKUP(H2,Kontenplan!E9:H278,4)</f>
        <v>Aktivkonto</v>
      </c>
      <c r="M1" s="200">
        <f>IF(OR(L1="Aufwandskonto",L1="Aktivkonto"),1,2)</f>
        <v>1</v>
      </c>
      <c r="N1" s="83"/>
    </row>
    <row r="2" spans="1:29" ht="46.5" customHeight="1" thickBot="1">
      <c r="B2" s="306"/>
      <c r="C2" s="307"/>
      <c r="D2" s="307"/>
      <c r="E2" s="307"/>
      <c r="F2" s="307"/>
      <c r="G2" s="308"/>
      <c r="H2" s="182">
        <v>1000</v>
      </c>
      <c r="I2" s="181" t="str">
        <f>VLOOKUP(H2,Kontenplan!E9:G301,2)</f>
        <v>Kasse</v>
      </c>
      <c r="J2" s="158"/>
      <c r="K2" s="148"/>
      <c r="L2" s="159" t="str">
        <f>IF(AND(J2="",K2=""),CONCATENATE("Alle Buchungen vom Konto '",I2,"' angezeigt."),IF(AND(K2&lt;J2,K2&lt;&gt;""),"Bis-Datum liegt vor Von-Datum",IF(OR(J2+27&lt;Journal!E7,K2-27&gt;MAX(Journal!E7:E80)),"Eines der Daten macht evtl. keinen Sinn",IF(AND(K2="",J2&gt;1),"Bei Bedarf Bis-Datum eingeben",""))))</f>
        <v>Alle Buchungen vom Konto 'Kasse' angezeigt.</v>
      </c>
      <c r="M2" s="238"/>
      <c r="N2" s="83"/>
      <c r="Y2" s="171" t="s">
        <v>282</v>
      </c>
    </row>
    <row r="3" spans="1:29" s="13" customFormat="1" ht="15" customHeight="1">
      <c r="B3" s="131" t="str">
        <f>IF(AND(J2="",K2=""),"","Buchungen berücksichtigt vom")</f>
        <v/>
      </c>
      <c r="C3" s="132"/>
      <c r="D3" s="135"/>
      <c r="E3" s="135" t="str">
        <f>IF(B3="","",IF(J2="",IF(Journal!E12&lt;&gt;"",MIN(Journal!E7:E12),40179),J2))</f>
        <v/>
      </c>
      <c r="F3" s="131" t="str">
        <f>IF(B3="","","bis")</f>
        <v/>
      </c>
      <c r="G3" s="136" t="str">
        <f>IF(B3="","",IF(K2="",MAX(Journal!E7:E80,K2),K2))</f>
        <v/>
      </c>
      <c r="H3" s="133" t="str">
        <f>CONCATENATE("Kontoauszug für Nr. ",H2)</f>
        <v>Kontoauszug für Nr. 1000</v>
      </c>
      <c r="I3" s="132"/>
      <c r="J3" s="134"/>
      <c r="K3" s="134"/>
      <c r="L3" s="187" t="str">
        <f>CONCATENATE("Geschäftsjahr ",Journal!D2)</f>
        <v>Geschäftsjahr 20xx</v>
      </c>
      <c r="P3" s="13" t="str">
        <f>CONCATENATE(H2,": ",I2)</f>
        <v>1000: Kasse</v>
      </c>
      <c r="Y3" s="186"/>
    </row>
    <row r="4" spans="1:29" ht="30.75" customHeight="1" thickBot="1">
      <c r="B4" s="300" t="str">
        <f>IF(AND(Kontenplan!C9="",Kontenplan!D9="",Kontenplan!E9="",Kontenplan!C10="",Kontenplan!D10="",Kontenplan!E10=""),N13,IF(H2="",N10,IF(AND(B8="Total",H2=P4),CONCATENATE(N11,I2),IF(H2=P4,CONCATENATE(H2,": ",I2),N12))))</f>
        <v>1000: Kasse</v>
      </c>
      <c r="C4" s="300"/>
      <c r="D4" s="300"/>
      <c r="E4" s="300"/>
      <c r="F4" s="300"/>
      <c r="G4" s="300"/>
      <c r="H4" s="300"/>
      <c r="I4" s="300"/>
      <c r="J4" s="300"/>
      <c r="K4" s="300"/>
      <c r="L4" s="300"/>
      <c r="P4">
        <f>VLOOKUP(H2,Kontenplan!W9:W377,1)</f>
        <v>1000</v>
      </c>
      <c r="Y4" s="171">
        <v>2.6315789473684199E-2</v>
      </c>
    </row>
    <row r="5" spans="1:29" ht="15.75" customHeight="1">
      <c r="A5" t="s">
        <v>275</v>
      </c>
      <c r="B5" s="203" t="s">
        <v>275</v>
      </c>
      <c r="C5" s="203" t="s">
        <v>177</v>
      </c>
      <c r="D5" s="143" t="s">
        <v>181</v>
      </c>
      <c r="E5" s="144"/>
      <c r="F5" s="144"/>
      <c r="G5" s="144"/>
      <c r="H5" s="301" t="s">
        <v>178</v>
      </c>
      <c r="I5" s="302"/>
      <c r="J5" s="302" t="s">
        <v>180</v>
      </c>
      <c r="K5" s="302"/>
      <c r="L5" s="203" t="s">
        <v>283</v>
      </c>
      <c r="M5" s="84"/>
      <c r="N5" s="201"/>
      <c r="W5" s="145">
        <f>MIN(Journal!E7:E80)</f>
        <v>45658</v>
      </c>
      <c r="Y5" s="171">
        <f>IF(MAX(Y8:Y96)&lt;-1,1,ROUND(MAX(Y8:Y96),0))</f>
        <v>1</v>
      </c>
    </row>
    <row r="6" spans="1:29">
      <c r="B6" s="101"/>
      <c r="C6" s="101"/>
      <c r="D6" s="140"/>
      <c r="E6" s="142"/>
      <c r="F6" s="142"/>
      <c r="G6" s="141"/>
      <c r="H6" s="129" t="s">
        <v>186</v>
      </c>
      <c r="I6" s="129" t="s">
        <v>187</v>
      </c>
      <c r="J6" s="129" t="s">
        <v>186</v>
      </c>
      <c r="K6" s="129" t="s">
        <v>187</v>
      </c>
      <c r="L6" s="102"/>
      <c r="M6" s="201"/>
      <c r="N6" s="201"/>
      <c r="S6" s="200" t="s">
        <v>177</v>
      </c>
      <c r="T6" s="200" t="s">
        <v>284</v>
      </c>
      <c r="U6" s="200" t="s">
        <v>285</v>
      </c>
      <c r="V6" s="200" t="s">
        <v>283</v>
      </c>
      <c r="X6">
        <f>SUM(X8:X96)</f>
        <v>0</v>
      </c>
      <c r="AC6" t="s">
        <v>286</v>
      </c>
    </row>
    <row r="7" spans="1:29" ht="4.5" customHeight="1">
      <c r="B7" s="101"/>
      <c r="C7" s="103"/>
      <c r="D7" s="101"/>
      <c r="E7" s="101"/>
      <c r="F7" s="101"/>
      <c r="G7" s="101"/>
      <c r="H7" s="101"/>
      <c r="I7" s="101"/>
      <c r="J7" s="104"/>
      <c r="K7" s="104"/>
      <c r="L7" s="104"/>
      <c r="M7" s="201"/>
      <c r="N7" s="201"/>
      <c r="R7">
        <v>0</v>
      </c>
      <c r="V7">
        <v>0</v>
      </c>
      <c r="Y7" s="171">
        <v>1</v>
      </c>
    </row>
    <row r="8" spans="1:29">
      <c r="A8">
        <v>1</v>
      </c>
      <c r="B8" s="105">
        <f>IF(H2&lt;&gt;P4,"",IF(VLOOKUP(A8,Journal!$B$7:$E$83,4)=0,"Total",VLOOKUP(A8,Journal!$B$7:$D$83,3)))</f>
        <v>1</v>
      </c>
      <c r="C8" s="103">
        <f>IF(B8="","",VLOOKUP(A8,Journal!$B$7:$E$83,4))</f>
        <v>45658</v>
      </c>
      <c r="D8" s="137" t="str">
        <f>IF(B8="","",VLOOKUP(A8,Journal!$B$7:$J$83,9))</f>
        <v>Testbuchung zum Überschreiben</v>
      </c>
      <c r="E8" s="139"/>
      <c r="F8" s="139"/>
      <c r="G8" s="138"/>
      <c r="H8" s="106" t="str">
        <f>IF(B8="","",VLOOKUP(A8,Journal!$B$7:$L$83,11))</f>
        <v>Kasse</v>
      </c>
      <c r="I8" s="101" t="str">
        <f>IF(B8="","",VLOOKUP(A8,Journal!$B$7:$M$83,12))</f>
        <v>Postkonto</v>
      </c>
      <c r="J8" s="127">
        <f>IF(B8="Total",0.0001,IF(OR(B8="",I$2=I8),0,VLOOKUP(A8,Journal!$B$7:M$83,8)))</f>
        <v>40</v>
      </c>
      <c r="K8" s="127">
        <f>IF(B8="Total",0.0001,IF(OR(B8="",J8&lt;&gt;0),0,VLOOKUP(A8,Journal!$B$7:M$83,8)))</f>
        <v>0</v>
      </c>
      <c r="L8" s="104">
        <f>IF(B8="Total",L7,IF(B8="",0,IF($M$1=1,L7+J8-K8+W8,L7-J8+K8+W8)))</f>
        <v>40</v>
      </c>
      <c r="M8" s="128"/>
      <c r="N8" s="188" t="s">
        <v>287</v>
      </c>
      <c r="R8" s="13">
        <v>1</v>
      </c>
      <c r="S8" s="152">
        <f>IF(VLOOKUP(A8,Journal!$A$7:$E$80,5)=0,S7+1,VLOOKUP(A8,Journal!$A$7:$E$80,5))</f>
        <v>45658</v>
      </c>
      <c r="T8" s="151">
        <f>IF(H$2=VLOOKUP(A8,Journal!$A$7:$F$80,6),VLOOKUP(A8,Journal!$A$7:M$80,9),0)</f>
        <v>40</v>
      </c>
      <c r="U8" s="151">
        <f>IF(H$2=VLOOKUP(A8,Journal!$A$7:$G$80,7),VLOOKUP(A8,Journal!$A$7:M$80,9),0)</f>
        <v>0</v>
      </c>
      <c r="V8" s="151">
        <f>IF(B8="",0,IF($M$1=1,V7+T8-U8,V7-T8+U8))</f>
        <v>40</v>
      </c>
      <c r="W8" s="153">
        <f>IF(OR(J2="",J2&lt;MIN(Journal!E7:E80)),0,VLOOKUP(X6,$R$7:$V$84,5))</f>
        <v>0</v>
      </c>
      <c r="X8">
        <f>IF(J$2&gt;S8,1,0)</f>
        <v>0</v>
      </c>
      <c r="Y8" s="171">
        <f>IF(B4=N12,-1000,1)</f>
        <v>1</v>
      </c>
    </row>
    <row r="9" spans="1:29">
      <c r="A9">
        <f>A8+1</f>
        <v>2</v>
      </c>
      <c r="B9" s="105" t="str">
        <f>IF(OR(B8="Total",B8=""),"",IF(VLOOKUP(A9,Journal!$B$7:$E$83,4)=0,"Total",VLOOKUP(A9,Journal!$B$7:$D$83,3)))</f>
        <v>Total</v>
      </c>
      <c r="C9" s="103">
        <f>IF(B9="","",VLOOKUP(A9,Journal!$B$7:$E$83,4))</f>
        <v>0</v>
      </c>
      <c r="D9" s="137">
        <f>IF(B9="","",VLOOKUP(A9,Journal!$B$7:$J$83,9))</f>
        <v>0</v>
      </c>
      <c r="E9" s="139"/>
      <c r="F9" s="139"/>
      <c r="G9" s="138"/>
      <c r="H9" s="106" t="str">
        <f>IF(B9="","",VLOOKUP(A9,Journal!$B$7:$L$83,11))</f>
        <v/>
      </c>
      <c r="I9" s="101" t="str">
        <f>IF(B9="","",VLOOKUP(A9,Journal!$B$7:$M$83,12))</f>
        <v/>
      </c>
      <c r="J9" s="127">
        <f>IF(B9="Total",SUM(J$8:J8)+0.0001,IF(OR(B9="",I$2=I9),0,VLOOKUP(A9,Journal!$B$7:M$83,8)))</f>
        <v>40.000100000000003</v>
      </c>
      <c r="K9" s="127">
        <f>IF(B9="Total",SUM(K8:K$8)+0.0001,IF(OR(B9="",J9&lt;&gt;0),0,VLOOKUP(A9,Journal!$B$7:M$83,8)))</f>
        <v>1E-4</v>
      </c>
      <c r="L9" s="104">
        <f>IF(B9="Total",L8,IF(B9="",0,IF($M$1=1,L8+J9-K9,L8-J9+K9)))</f>
        <v>40</v>
      </c>
      <c r="M9" s="128"/>
      <c r="N9" s="145" t="s">
        <v>288</v>
      </c>
      <c r="P9">
        <f>IF(L8=L9,L8+0.00001,L9)</f>
        <v>40.000010000000003</v>
      </c>
      <c r="R9" s="13">
        <f>R8+1</f>
        <v>2</v>
      </c>
      <c r="S9" s="152">
        <f>IF(VLOOKUP(A9,Journal!$A$7:$E$80,5)=0,S8+1,VLOOKUP(A9,Journal!$A$7:$E$80,5))</f>
        <v>45659</v>
      </c>
      <c r="T9" s="151">
        <f>IF(H$2=VLOOKUP(A9,Journal!$A$7:$F$80,6),VLOOKUP(A9,Journal!$A$7:M$80,9),0)</f>
        <v>0</v>
      </c>
      <c r="U9" s="151">
        <f>IF(H$2=VLOOKUP(A9,Journal!$A$7:$G$80,7),VLOOKUP(A9,Journal!$A$7:M$80,9),0)</f>
        <v>0</v>
      </c>
      <c r="V9" s="151">
        <f>IF($M$1=1,V8+T9-U9,V8-T9+U9)</f>
        <v>40</v>
      </c>
      <c r="X9">
        <f t="shared" ref="X9:X72" si="0">IF(J$2&gt;S9,1,0)</f>
        <v>0</v>
      </c>
      <c r="Y9" s="171">
        <f t="shared" ref="Y9:Y71" si="1">IF(B8="Total",-1000,Y8+Y$4)</f>
        <v>1.0263157894736843</v>
      </c>
    </row>
    <row r="10" spans="1:29">
      <c r="A10">
        <f>A9+1</f>
        <v>3</v>
      </c>
      <c r="B10" s="105" t="str">
        <f>IF(OR(B9="Total",B9=""),"",IF(VLOOKUP(A10,Journal!$B$7:$E$83,4)=0,"Total",VLOOKUP(A10,Journal!$B$7:$D$83,3)))</f>
        <v/>
      </c>
      <c r="C10" s="103" t="str">
        <f>IF(B10="","",VLOOKUP(A10,Journal!$B$7:$E$83,4))</f>
        <v/>
      </c>
      <c r="D10" s="137" t="str">
        <f>IF(B10="","",VLOOKUP(A10,Journal!$B$7:$J$83,9))</f>
        <v/>
      </c>
      <c r="E10" s="139"/>
      <c r="F10" s="139"/>
      <c r="G10" s="138"/>
      <c r="H10" s="106" t="str">
        <f>IF(B10="","",VLOOKUP(A10,Journal!$B$7:$L$83,11))</f>
        <v/>
      </c>
      <c r="I10" s="101" t="str">
        <f>IF(B10="","",VLOOKUP(A10,Journal!$B$7:$M$83,12))</f>
        <v/>
      </c>
      <c r="J10" s="127">
        <f>IF(B10="Total",SUM(J$8:J9)+0.0001,IF(OR(B10="",I$2=I10),0,VLOOKUP(A10,Journal!$B$7:M$83,8)))</f>
        <v>0</v>
      </c>
      <c r="K10" s="127">
        <f>IF(B10="Total",SUM(K$8:K9)+0.0001,IF(OR(B10="",J10&lt;&gt;0),0,VLOOKUP(A10,Journal!$B$7:M$83,8)))</f>
        <v>0</v>
      </c>
      <c r="L10" s="104">
        <f>IF(B10="Total",L9,IF(B10="",0,IF($M$1=1,L9+J10-K10,L9-J10+K10)))</f>
        <v>0</v>
      </c>
      <c r="M10" s="128"/>
      <c r="N10" s="145" t="s">
        <v>289</v>
      </c>
      <c r="P10">
        <f t="shared" ref="P10:P73" si="2">IF(L9=L10,L9+0.00001,L10)</f>
        <v>0</v>
      </c>
      <c r="R10" s="13">
        <f t="shared" ref="R10:R73" si="3">R9+1</f>
        <v>3</v>
      </c>
      <c r="S10" s="152">
        <f>IF(VLOOKUP(A10,Journal!$A$7:$E$80,5)=0,S9+1,VLOOKUP(A10,Journal!$A$7:$E$80,5))</f>
        <v>45660</v>
      </c>
      <c r="T10" s="151">
        <f>IF(H$2=VLOOKUP(A10,Journal!$A$7:$F$80,6),VLOOKUP(A10,Journal!$A$7:M$80,9),0)</f>
        <v>0</v>
      </c>
      <c r="U10" s="151">
        <f>IF(H$2=VLOOKUP(A10,Journal!$A$7:$G$80,7),VLOOKUP(A10,Journal!$A$7:M$80,9),0)</f>
        <v>0</v>
      </c>
      <c r="V10" s="151">
        <f t="shared" ref="V10:V73" si="4">IF($M$1=1,V9+T10-U10,V9-T10+U10)</f>
        <v>40</v>
      </c>
      <c r="X10">
        <f t="shared" si="0"/>
        <v>0</v>
      </c>
      <c r="Y10" s="171">
        <f t="shared" si="1"/>
        <v>-1000</v>
      </c>
    </row>
    <row r="11" spans="1:29">
      <c r="A11">
        <f t="shared" ref="A11:A74" si="5">A10+1</f>
        <v>4</v>
      </c>
      <c r="B11" s="105" t="str">
        <f>IF(OR(B10="Total",B10=""),"",IF(VLOOKUP(A11,Journal!$B$7:$E$83,4)=0,"Total",VLOOKUP(A11,Journal!$B$7:$D$83,3)))</f>
        <v/>
      </c>
      <c r="C11" s="103" t="str">
        <f>IF(B11="","",VLOOKUP(A11,Journal!$B$7:$E$83,4))</f>
        <v/>
      </c>
      <c r="D11" s="137" t="str">
        <f>IF(B11="","",VLOOKUP(A11,Journal!$B$7:$J$83,9))</f>
        <v/>
      </c>
      <c r="E11" s="139"/>
      <c r="F11" s="139"/>
      <c r="G11" s="138"/>
      <c r="H11" s="106" t="str">
        <f>IF(B11="","",VLOOKUP(A11,Journal!$B$7:$L$83,11))</f>
        <v/>
      </c>
      <c r="I11" s="101" t="str">
        <f>IF(B11="","",VLOOKUP(A11,Journal!$B$7:$M$83,12))</f>
        <v/>
      </c>
      <c r="J11" s="127">
        <f>IF(B11="Total",SUM(J$8:J10)+0.0001,IF(OR(B11="",I$2=I11),0,VLOOKUP(A11,Journal!$B$7:M$83,8)))</f>
        <v>0</v>
      </c>
      <c r="K11" s="127">
        <f>IF(B11="Total",SUM(K$8:K10)+0.0001,IF(OR(B11="",J11&lt;&gt;0),0,VLOOKUP(A11,Journal!$B$7:M$83,8)))</f>
        <v>0</v>
      </c>
      <c r="L11" s="104">
        <f t="shared" ref="L11:L71" si="6">IF(B11="Total",L10,IF(B11="",0,IF($M$1=1,L10+J11-K11,L10-J11+K11)))</f>
        <v>0</v>
      </c>
      <c r="M11" s="128"/>
      <c r="N11" s="145" t="s">
        <v>290</v>
      </c>
      <c r="P11">
        <f t="shared" si="2"/>
        <v>1.0000000000000001E-5</v>
      </c>
      <c r="R11" s="13">
        <f t="shared" si="3"/>
        <v>4</v>
      </c>
      <c r="S11" s="152">
        <f>IF(VLOOKUP(A11,Journal!$A$7:$E$80,5)=0,S10+1,VLOOKUP(A11,Journal!$A$7:$E$80,5))</f>
        <v>45661</v>
      </c>
      <c r="T11" s="151">
        <f>IF(H$2=VLOOKUP(A11,Journal!$A$7:$F$80,6),VLOOKUP(A11,Journal!$A$7:M$80,9),0)</f>
        <v>0</v>
      </c>
      <c r="U11" s="151">
        <f>IF(H$2=VLOOKUP(A11,Journal!$A$7:$G$80,7),VLOOKUP(A11,Journal!$A$7:M$80,9),0)</f>
        <v>0</v>
      </c>
      <c r="V11" s="151">
        <f t="shared" si="4"/>
        <v>40</v>
      </c>
      <c r="X11">
        <f t="shared" si="0"/>
        <v>0</v>
      </c>
      <c r="Y11" s="171">
        <f t="shared" si="1"/>
        <v>-999.97368421052636</v>
      </c>
    </row>
    <row r="12" spans="1:29">
      <c r="A12">
        <f t="shared" si="5"/>
        <v>5</v>
      </c>
      <c r="B12" s="105" t="str">
        <f>IF(OR(B11="Total",B11=""),"",IF(VLOOKUP(A12,Journal!$B$7:$E$83,4)=0,"Total",VLOOKUP(A12,Journal!$B$7:$D$83,3)))</f>
        <v/>
      </c>
      <c r="C12" s="103" t="str">
        <f>IF(B12="","",VLOOKUP(A12,Journal!$B$7:$E$83,4))</f>
        <v/>
      </c>
      <c r="D12" s="137" t="str">
        <f>IF(B12="","",VLOOKUP(A12,Journal!$B$7:$J$83,9))</f>
        <v/>
      </c>
      <c r="E12" s="139"/>
      <c r="F12" s="139"/>
      <c r="G12" s="138"/>
      <c r="H12" s="106" t="str">
        <f>IF(B12="","",VLOOKUP(A12,Journal!$B$7:$L$83,11))</f>
        <v/>
      </c>
      <c r="I12" s="101" t="str">
        <f>IF(B12="","",VLOOKUP(A12,Journal!$B$7:$M$83,12))</f>
        <v/>
      </c>
      <c r="J12" s="127">
        <f>IF(B12="Total",SUM(J$8:J11)+0.0001,IF(OR(B12="",I$2=I12),0,VLOOKUP(A12,Journal!$B$7:M$83,8)))</f>
        <v>0</v>
      </c>
      <c r="K12" s="127">
        <f>IF(B12="Total",SUM(K$8:K11)+0.0001,IF(OR(B12="",J12&lt;&gt;0),0,VLOOKUP(A12,Journal!$B$7:M$83,8)))</f>
        <v>0</v>
      </c>
      <c r="L12" s="104">
        <f t="shared" si="6"/>
        <v>0</v>
      </c>
      <c r="M12" s="128"/>
      <c r="N12" t="str">
        <f>CONCATENATE("Bitte Eingabe im Feld Kontonummer prüfen. Die Kontonummer ",H2," existiert im Kontenplan nicht")</f>
        <v>Bitte Eingabe im Feld Kontonummer prüfen. Die Kontonummer 1000 existiert im Kontenplan nicht</v>
      </c>
      <c r="P12">
        <f t="shared" si="2"/>
        <v>1.0000000000000001E-5</v>
      </c>
      <c r="R12" s="13">
        <f t="shared" si="3"/>
        <v>5</v>
      </c>
      <c r="S12" s="152">
        <f>IF(VLOOKUP(A12,Journal!$A$7:$E$80,5)=0,S11+1,VLOOKUP(A12,Journal!$A$7:$E$80,5))</f>
        <v>45662</v>
      </c>
      <c r="T12" s="151">
        <f>IF(H$2=VLOOKUP(A12,Journal!$A$7:$F$80,6),VLOOKUP(A12,Journal!$A$7:M$80,9),0)</f>
        <v>0</v>
      </c>
      <c r="U12" s="151">
        <f>IF(H$2=VLOOKUP(A12,Journal!$A$7:$G$80,7),VLOOKUP(A12,Journal!$A$7:M$80,9),0)</f>
        <v>0</v>
      </c>
      <c r="V12" s="151">
        <f t="shared" si="4"/>
        <v>40</v>
      </c>
      <c r="X12">
        <f t="shared" si="0"/>
        <v>0</v>
      </c>
      <c r="Y12" s="171">
        <f t="shared" si="1"/>
        <v>-999.94736842105272</v>
      </c>
    </row>
    <row r="13" spans="1:29">
      <c r="A13">
        <f t="shared" si="5"/>
        <v>6</v>
      </c>
      <c r="B13" s="105" t="str">
        <f>IF(OR(B12="Total",B12=""),"",IF(VLOOKUP(A13,Journal!$B$7:$E$83,4)=0,"Total",VLOOKUP(A13,Journal!$B$7:$D$83,3)))</f>
        <v/>
      </c>
      <c r="C13" s="103" t="str">
        <f>IF(B13="","",VLOOKUP(A13,Journal!$B$7:$E$83,4))</f>
        <v/>
      </c>
      <c r="D13" s="137" t="str">
        <f>IF(B13="","",VLOOKUP(A13,Journal!$B$7:$J$83,9))</f>
        <v/>
      </c>
      <c r="E13" s="139"/>
      <c r="F13" s="139"/>
      <c r="G13" s="138"/>
      <c r="H13" s="106" t="str">
        <f>IF(B13="","",VLOOKUP(A13,Journal!$B$7:$L$83,11))</f>
        <v/>
      </c>
      <c r="I13" s="101" t="str">
        <f>IF(B13="","",VLOOKUP(A13,Journal!$B$7:$M$83,12))</f>
        <v/>
      </c>
      <c r="J13" s="127">
        <f>IF(B13="Total",SUM(J$8:J12)+0.0001,IF(OR(B13="",I$2=I13),0,VLOOKUP(A13,Journal!$B$7:M$83,8)))</f>
        <v>0</v>
      </c>
      <c r="K13" s="127">
        <f>IF(B13="Total",SUM(K$8:K12)+0.0001,IF(OR(B13="",J13&lt;&gt;0),0,VLOOKUP(A13,Journal!$B$7:M$83,8)))</f>
        <v>0</v>
      </c>
      <c r="L13" s="104">
        <f t="shared" si="6"/>
        <v>0</v>
      </c>
      <c r="M13" s="128"/>
      <c r="N13" s="145" t="s">
        <v>291</v>
      </c>
      <c r="P13">
        <f t="shared" si="2"/>
        <v>1.0000000000000001E-5</v>
      </c>
      <c r="R13" s="13">
        <f t="shared" si="3"/>
        <v>6</v>
      </c>
      <c r="S13" s="152">
        <f>IF(VLOOKUP(A13,Journal!$A$7:$E$80,5)=0,S12+1,VLOOKUP(A13,Journal!$A$7:$E$80,5))</f>
        <v>45663</v>
      </c>
      <c r="T13" s="151">
        <f>IF(H$2=VLOOKUP(A13,Journal!$A$7:$F$80,6),VLOOKUP(A13,Journal!$A$7:M$80,9),0)</f>
        <v>0</v>
      </c>
      <c r="U13" s="151">
        <f>IF(H$2=VLOOKUP(A13,Journal!$A$7:$G$80,7),VLOOKUP(A13,Journal!$A$7:M$80,9),0)</f>
        <v>0</v>
      </c>
      <c r="V13" s="151">
        <f t="shared" si="4"/>
        <v>40</v>
      </c>
      <c r="X13">
        <f t="shared" si="0"/>
        <v>0</v>
      </c>
      <c r="Y13" s="171">
        <f t="shared" si="1"/>
        <v>-999.92105263157907</v>
      </c>
    </row>
    <row r="14" spans="1:29">
      <c r="A14">
        <f t="shared" si="5"/>
        <v>7</v>
      </c>
      <c r="B14" s="105" t="str">
        <f>IF(OR(B13="Total",B13=""),"",IF(VLOOKUP(A14,Journal!$B$7:$E$83,4)=0,"Total",VLOOKUP(A14,Journal!$B$7:$D$83,3)))</f>
        <v/>
      </c>
      <c r="C14" s="103" t="str">
        <f>IF(B14="","",VLOOKUP(A14,Journal!$B$7:$E$83,4))</f>
        <v/>
      </c>
      <c r="D14" s="137" t="str">
        <f>IF(B14="","",VLOOKUP(A14,Journal!$B$7:$J$83,9))</f>
        <v/>
      </c>
      <c r="E14" s="139"/>
      <c r="F14" s="139"/>
      <c r="G14" s="138"/>
      <c r="H14" s="106" t="str">
        <f>IF(B14="","",VLOOKUP(A14,Journal!$B$7:$L$83,11))</f>
        <v/>
      </c>
      <c r="I14" s="101" t="str">
        <f>IF(B14="","",VLOOKUP(A14,Journal!$B$7:$M$83,12))</f>
        <v/>
      </c>
      <c r="J14" s="127">
        <f>IF(B14="Total",SUM(J$8:J13)+0.0001,IF(OR(B14="",I$2=I14),0,VLOOKUP(A14,Journal!$B$7:M$83,8)))</f>
        <v>0</v>
      </c>
      <c r="K14" s="127">
        <f>IF(B14="Total",SUM(K$8:K13)+0.0001,IF(OR(B14="",J14&lt;&gt;0),0,VLOOKUP(A14,Journal!$B$7:M$83,8)))</f>
        <v>0</v>
      </c>
      <c r="L14" s="104">
        <f t="shared" si="6"/>
        <v>0</v>
      </c>
      <c r="M14" s="128"/>
      <c r="N14" s="145" t="s">
        <v>292</v>
      </c>
      <c r="P14">
        <f t="shared" si="2"/>
        <v>1.0000000000000001E-5</v>
      </c>
      <c r="R14" s="13">
        <f t="shared" si="3"/>
        <v>7</v>
      </c>
      <c r="S14" s="152">
        <f>IF(VLOOKUP(A14,Journal!$A$7:$E$80,5)=0,S13+1,VLOOKUP(A14,Journal!$A$7:$E$80,5))</f>
        <v>45664</v>
      </c>
      <c r="T14" s="151">
        <f>IF(H$2=VLOOKUP(A14,Journal!$A$7:$F$80,6),VLOOKUP(A14,Journal!$A$7:M$80,9),0)</f>
        <v>0</v>
      </c>
      <c r="U14" s="151">
        <f>IF(H$2=VLOOKUP(A14,Journal!$A$7:$G$80,7),VLOOKUP(A14,Journal!$A$7:M$80,9),0)</f>
        <v>0</v>
      </c>
      <c r="V14" s="151">
        <f t="shared" si="4"/>
        <v>40</v>
      </c>
      <c r="X14">
        <f>IF(J$2&gt;S14,1,0)</f>
        <v>0</v>
      </c>
      <c r="Y14" s="171">
        <f t="shared" si="1"/>
        <v>-999.89473684210543</v>
      </c>
    </row>
    <row r="15" spans="1:29">
      <c r="A15">
        <f t="shared" si="5"/>
        <v>8</v>
      </c>
      <c r="B15" s="105" t="str">
        <f>IF(OR(B14="Total",B14=""),"",IF(VLOOKUP(A15,Journal!$B$7:$E$83,4)=0,"Total",VLOOKUP(A15,Journal!$B$7:$D$83,3)))</f>
        <v/>
      </c>
      <c r="C15" s="103" t="str">
        <f>IF(B15="","",VLOOKUP(A15,Journal!$B$7:$E$83,4))</f>
        <v/>
      </c>
      <c r="D15" s="137" t="str">
        <f>IF(B15="","",VLOOKUP(A15,Journal!$B$7:$J$83,9))</f>
        <v/>
      </c>
      <c r="E15" s="139"/>
      <c r="F15" s="139"/>
      <c r="G15" s="138"/>
      <c r="H15" s="106" t="str">
        <f>IF(B15="","",VLOOKUP(A15,Journal!$B$7:$L$83,11))</f>
        <v/>
      </c>
      <c r="I15" s="101" t="str">
        <f>IF(B15="","",VLOOKUP(A15,Journal!$B$7:$M$83,12))</f>
        <v/>
      </c>
      <c r="J15" s="127">
        <f>IF(B15="Total",SUM(J$8:J14)+0.0001,IF(OR(B15="",I$2=I15),0,VLOOKUP(A15,Journal!$B$7:M$83,8)))</f>
        <v>0</v>
      </c>
      <c r="K15" s="127">
        <f>IF(B15="Total",SUM(K$8:K14)+0.0001,IF(OR(B15="",J15&lt;&gt;0),0,VLOOKUP(A15,Journal!$B$7:M$83,8)))</f>
        <v>0</v>
      </c>
      <c r="L15" s="104">
        <f t="shared" si="6"/>
        <v>0</v>
      </c>
      <c r="M15" s="128"/>
      <c r="N15" s="239" t="str">
        <f>CONCATENATE(N16," ",Y5," ",N17)</f>
        <v>Der Ausdruck dieses Kontoauszugs benötigt rund 1 Seite(n). Zum Ausdrucken passen Sie bitte den Druckbereich für dieses Konto an, indem Sie zunächst von Feld B3 bis zum Feld mit dem Total alle Zellen markieren und klicken Sie anschliessend unter Seitenlayout Druckbereich/Druckbereich festlegen (Excel 97/2003 unter Datei/Druckbereich/Druckbereich festlegen). Um den Druckbereich wieder auf eine Seite zurückzusetzen markieren Sie alles von Zelle B3 bis zur Zelle L39. Tipp: Wenn Sie alle Konten der Buchhaltung ausdrucken wollen, drucken Sie zunächst alle jene aus, welche auf einer Seite Platz haben.</v>
      </c>
      <c r="P15">
        <f t="shared" si="2"/>
        <v>1.0000000000000001E-5</v>
      </c>
      <c r="R15" s="13">
        <f t="shared" si="3"/>
        <v>8</v>
      </c>
      <c r="S15" s="152">
        <f>IF(VLOOKUP(A15,Journal!$A$7:$E$80,5)=0,S14+1,VLOOKUP(A15,Journal!$A$7:$E$80,5))</f>
        <v>45665</v>
      </c>
      <c r="T15" s="151">
        <f>IF(H$2=VLOOKUP(A15,Journal!$A$7:$F$80,6),VLOOKUP(A15,Journal!$A$7:M$80,9),0)</f>
        <v>0</v>
      </c>
      <c r="U15" s="151">
        <f>IF(H$2=VLOOKUP(A15,Journal!$A$7:$G$80,7),VLOOKUP(A15,Journal!$A$7:M$80,9),0)</f>
        <v>0</v>
      </c>
      <c r="V15" s="151">
        <f t="shared" si="4"/>
        <v>40</v>
      </c>
      <c r="X15">
        <f t="shared" si="0"/>
        <v>0</v>
      </c>
      <c r="Y15" s="171">
        <f t="shared" si="1"/>
        <v>-999.86842105263179</v>
      </c>
    </row>
    <row r="16" spans="1:29">
      <c r="A16">
        <f t="shared" si="5"/>
        <v>9</v>
      </c>
      <c r="B16" s="105" t="str">
        <f>IF(OR(B15="Total",B15=""),"",IF(VLOOKUP(A16,Journal!$B$7:$E$83,4)=0,"Total",VLOOKUP(A16,Journal!$B$7:$D$83,3)))</f>
        <v/>
      </c>
      <c r="C16" s="103" t="str">
        <f>IF(B16="","",VLOOKUP(A16,Journal!$B$7:$E$83,4))</f>
        <v/>
      </c>
      <c r="D16" s="137" t="str">
        <f>IF(B16="","",VLOOKUP(A16,Journal!$B$7:$J$83,9))</f>
        <v/>
      </c>
      <c r="E16" s="139"/>
      <c r="F16" s="139"/>
      <c r="G16" s="138"/>
      <c r="H16" s="106" t="str">
        <f>IF(B16="","",VLOOKUP(A16,Journal!$B$7:$L$83,11))</f>
        <v/>
      </c>
      <c r="I16" s="101" t="str">
        <f>IF(B16="","",VLOOKUP(A16,Journal!$B$7:$M$83,12))</f>
        <v/>
      </c>
      <c r="J16" s="127">
        <f>IF(B16="Total",SUM(J$8:J15)+0.0001,IF(OR(B16="",I$2=I16),0,VLOOKUP(A16,Journal!$B$7:M$83,8)))</f>
        <v>0</v>
      </c>
      <c r="K16" s="127">
        <f>IF(B16="Total",SUM(K$8:K15)+0.0001,IF(OR(B16="",J16&lt;&gt;0),0,VLOOKUP(A16,Journal!$B$7:M$83,8)))</f>
        <v>0</v>
      </c>
      <c r="L16" s="104">
        <f t="shared" si="6"/>
        <v>0</v>
      </c>
      <c r="M16" s="128"/>
      <c r="N16" s="239" t="s">
        <v>293</v>
      </c>
      <c r="P16">
        <f t="shared" si="2"/>
        <v>1.0000000000000001E-5</v>
      </c>
      <c r="R16" s="13">
        <f t="shared" si="3"/>
        <v>9</v>
      </c>
      <c r="S16" s="152">
        <f>IF(VLOOKUP(A16,Journal!$A$7:$E$80,5)=0,S15+1,VLOOKUP(A16,Journal!$A$7:$E$80,5))</f>
        <v>45666</v>
      </c>
      <c r="T16" s="151">
        <f>IF(H$2=VLOOKUP(A16,Journal!$A$7:$F$80,6),VLOOKUP(A16,Journal!$A$7:M$80,9),0)</f>
        <v>0</v>
      </c>
      <c r="U16" s="151">
        <f>IF(H$2=VLOOKUP(A16,Journal!$A$7:$G$80,7),VLOOKUP(A16,Journal!$A$7:M$80,9),0)</f>
        <v>0</v>
      </c>
      <c r="V16" s="151">
        <f t="shared" si="4"/>
        <v>40</v>
      </c>
      <c r="X16">
        <f t="shared" si="0"/>
        <v>0</v>
      </c>
      <c r="Y16" s="171">
        <f t="shared" si="1"/>
        <v>-999.84210526315815</v>
      </c>
    </row>
    <row r="17" spans="1:25">
      <c r="A17">
        <f t="shared" si="5"/>
        <v>10</v>
      </c>
      <c r="B17" s="105" t="str">
        <f>IF(OR(B16="Total",B16=""),"",IF(VLOOKUP(A17,Journal!$B$7:$E$83,4)=0,"Total",VLOOKUP(A17,Journal!$B$7:$D$83,3)))</f>
        <v/>
      </c>
      <c r="C17" s="103" t="str">
        <f>IF(B17="","",VLOOKUP(A17,Journal!$B$7:$E$83,4))</f>
        <v/>
      </c>
      <c r="D17" s="137" t="str">
        <f>IF(B17="","",VLOOKUP(A17,Journal!$B$7:$J$83,9))</f>
        <v/>
      </c>
      <c r="E17" s="139"/>
      <c r="F17" s="139"/>
      <c r="G17" s="138"/>
      <c r="H17" s="106" t="str">
        <f>IF(B17="","",VLOOKUP(A17,Journal!$B$7:$L$83,11))</f>
        <v/>
      </c>
      <c r="I17" s="101" t="str">
        <f>IF(B17="","",VLOOKUP(A17,Journal!$B$7:$M$83,12))</f>
        <v/>
      </c>
      <c r="J17" s="127">
        <f>IF(B17="Total",SUM(J$8:J16)+0.0001,IF(OR(B17="",I$2=I17),0,VLOOKUP(A17,Journal!$B$7:M$83,8)))</f>
        <v>0</v>
      </c>
      <c r="K17" s="127">
        <f>IF(B17="Total",SUM(K$8:K16)+0.0001,IF(OR(B17="",J17&lt;&gt;0),0,VLOOKUP(A17,Journal!$B$7:M$83,8)))</f>
        <v>0</v>
      </c>
      <c r="L17" s="104">
        <f t="shared" si="6"/>
        <v>0</v>
      </c>
      <c r="M17" s="128"/>
      <c r="N17" s="239" t="s">
        <v>294</v>
      </c>
      <c r="P17">
        <f t="shared" si="2"/>
        <v>1.0000000000000001E-5</v>
      </c>
      <c r="R17" s="13">
        <f t="shared" si="3"/>
        <v>10</v>
      </c>
      <c r="S17" s="152">
        <f>IF(VLOOKUP(A17,Journal!$A$7:$E$80,5)=0,S16+1,VLOOKUP(A17,Journal!$A$7:$E$80,5))</f>
        <v>45667</v>
      </c>
      <c r="T17" s="151">
        <f>IF(H$2=VLOOKUP(A17,Journal!$A$7:$F$80,6),VLOOKUP(A17,Journal!$A$7:M$80,9),0)</f>
        <v>0</v>
      </c>
      <c r="U17" s="151">
        <f>IF(H$2=VLOOKUP(A17,Journal!$A$7:$G$80,7),VLOOKUP(A17,Journal!$A$7:M$80,9),0)</f>
        <v>0</v>
      </c>
      <c r="V17" s="151">
        <f t="shared" si="4"/>
        <v>40</v>
      </c>
      <c r="X17">
        <f t="shared" si="0"/>
        <v>0</v>
      </c>
      <c r="Y17" s="171">
        <f t="shared" si="1"/>
        <v>-999.8157894736845</v>
      </c>
    </row>
    <row r="18" spans="1:25">
      <c r="A18">
        <f t="shared" si="5"/>
        <v>11</v>
      </c>
      <c r="B18" s="105" t="str">
        <f>IF(OR(B17="Total",B17=""),"",IF(VLOOKUP(A18,Journal!$B$7:$E$83,4)=0,"Total",VLOOKUP(A18,Journal!$B$7:$D$83,3)))</f>
        <v/>
      </c>
      <c r="C18" s="103" t="str">
        <f>IF(B18="","",VLOOKUP(A18,Journal!$B$7:$E$83,4))</f>
        <v/>
      </c>
      <c r="D18" s="137" t="str">
        <f>IF(B18="","",VLOOKUP(A18,Journal!$B$7:$J$83,9))</f>
        <v/>
      </c>
      <c r="E18" s="139"/>
      <c r="F18" s="139"/>
      <c r="G18" s="138"/>
      <c r="H18" s="106" t="str">
        <f>IF(B18="","",VLOOKUP(A18,Journal!$B$7:$L$83,11))</f>
        <v/>
      </c>
      <c r="I18" s="101" t="str">
        <f>IF(B18="","",VLOOKUP(A18,Journal!$B$7:$M$83,12))</f>
        <v/>
      </c>
      <c r="J18" s="127">
        <f>IF(B18="Total",SUM(J$8:J17)+0.0001,IF(OR(B18="",I$2=I18),0,VLOOKUP(A18,Journal!$B$7:M$83,8)))</f>
        <v>0</v>
      </c>
      <c r="K18" s="127">
        <f>IF(B18="Total",SUM(K$8:K17)+0.0001,IF(OR(B18="",J18&lt;&gt;0),0,VLOOKUP(A18,Journal!$B$7:M$83,8)))</f>
        <v>0</v>
      </c>
      <c r="L18" s="104">
        <f t="shared" si="6"/>
        <v>0</v>
      </c>
      <c r="M18" s="128"/>
      <c r="P18">
        <f t="shared" si="2"/>
        <v>1.0000000000000001E-5</v>
      </c>
      <c r="R18" s="13">
        <f t="shared" si="3"/>
        <v>11</v>
      </c>
      <c r="S18" s="152">
        <f>IF(VLOOKUP(A18,Journal!$A$7:$E$80,5)=0,S17+1,VLOOKUP(A18,Journal!$A$7:$E$80,5))</f>
        <v>45668</v>
      </c>
      <c r="T18" s="151">
        <f>IF(H$2=VLOOKUP(A18,Journal!$A$7:$F$80,6),VLOOKUP(A18,Journal!$A$7:M$80,9),0)</f>
        <v>0</v>
      </c>
      <c r="U18" s="151">
        <f>IF(H$2=VLOOKUP(A18,Journal!$A$7:$G$80,7),VLOOKUP(A18,Journal!$A$7:M$80,9),0)</f>
        <v>0</v>
      </c>
      <c r="V18" s="151">
        <f t="shared" si="4"/>
        <v>40</v>
      </c>
      <c r="X18">
        <f t="shared" si="0"/>
        <v>0</v>
      </c>
      <c r="Y18" s="171">
        <f t="shared" si="1"/>
        <v>-999.78947368421086</v>
      </c>
    </row>
    <row r="19" spans="1:25">
      <c r="A19">
        <f t="shared" si="5"/>
        <v>12</v>
      </c>
      <c r="B19" s="105" t="str">
        <f>IF(OR(B18="Total",B18=""),"",IF(VLOOKUP(A19,Journal!$B$7:$E$83,4)=0,"Total",VLOOKUP(A19,Journal!$B$7:$D$83,3)))</f>
        <v/>
      </c>
      <c r="C19" s="103" t="str">
        <f>IF(B19="","",VLOOKUP(A19,Journal!$B$7:$E$83,4))</f>
        <v/>
      </c>
      <c r="D19" s="137" t="str">
        <f>IF(B19="","",VLOOKUP(A19,Journal!$B$7:$J$83,9))</f>
        <v/>
      </c>
      <c r="E19" s="139"/>
      <c r="F19" s="139"/>
      <c r="G19" s="138"/>
      <c r="H19" s="106" t="str">
        <f>IF(B19="","",VLOOKUP(A19,Journal!$B$7:$L$83,11))</f>
        <v/>
      </c>
      <c r="I19" s="101" t="str">
        <f>IF(B19="","",VLOOKUP(A19,Journal!$B$7:$M$83,12))</f>
        <v/>
      </c>
      <c r="J19" s="127">
        <f>IF(B19="Total",SUM(J$8:J18)+0.0001,IF(OR(B19="",I$2=I19),0,VLOOKUP(A19,Journal!$B$7:M$83,8)))</f>
        <v>0</v>
      </c>
      <c r="K19" s="127">
        <f>IF(B19="Total",SUM(K$8:K18)+0.0001,IF(OR(B19="",J19&lt;&gt;0),0,VLOOKUP(A19,Journal!$B$7:M$83,8)))</f>
        <v>0</v>
      </c>
      <c r="L19" s="104">
        <f t="shared" si="6"/>
        <v>0</v>
      </c>
      <c r="M19" s="128"/>
      <c r="P19">
        <f t="shared" si="2"/>
        <v>1.0000000000000001E-5</v>
      </c>
      <c r="Q19" s="110"/>
      <c r="R19" s="13">
        <f t="shared" si="3"/>
        <v>12</v>
      </c>
      <c r="S19" s="152">
        <f>IF(VLOOKUP(A19,Journal!$A$7:$E$80,5)=0,S18+1,VLOOKUP(A19,Journal!$A$7:$E$80,5))</f>
        <v>45669</v>
      </c>
      <c r="T19" s="151">
        <f>IF(H$2=VLOOKUP(A19,Journal!$A$7:$F$80,6),VLOOKUP(A19,Journal!$A$7:M$80,9),0)</f>
        <v>0</v>
      </c>
      <c r="U19" s="151">
        <f>IF(H$2=VLOOKUP(A19,Journal!$A$7:$G$80,7),VLOOKUP(A19,Journal!$A$7:M$80,9),0)</f>
        <v>0</v>
      </c>
      <c r="V19" s="151">
        <f t="shared" si="4"/>
        <v>40</v>
      </c>
      <c r="X19">
        <f t="shared" si="0"/>
        <v>0</v>
      </c>
      <c r="Y19" s="171">
        <f t="shared" si="1"/>
        <v>-999.76315789473722</v>
      </c>
    </row>
    <row r="20" spans="1:25">
      <c r="A20">
        <f t="shared" si="5"/>
        <v>13</v>
      </c>
      <c r="B20" s="105" t="str">
        <f>IF(OR(B19="Total",B19=""),"",IF(VLOOKUP(A20,Journal!$B$7:$E$83,4)=0,"Total",VLOOKUP(A20,Journal!$B$7:$D$83,3)))</f>
        <v/>
      </c>
      <c r="C20" s="103" t="str">
        <f>IF(B20="","",VLOOKUP(A20,Journal!$B$7:$E$83,4))</f>
        <v/>
      </c>
      <c r="D20" s="137" t="str">
        <f>IF(B20="","",VLOOKUP(A20,Journal!$B$7:$J$83,9))</f>
        <v/>
      </c>
      <c r="E20" s="139"/>
      <c r="F20" s="139"/>
      <c r="G20" s="138"/>
      <c r="H20" s="106" t="str">
        <f>IF(B20="","",VLOOKUP(A20,Journal!$B$7:$L$83,11))</f>
        <v/>
      </c>
      <c r="I20" s="101" t="str">
        <f>IF(B20="","",VLOOKUP(A20,Journal!$B$7:$M$83,12))</f>
        <v/>
      </c>
      <c r="J20" s="127">
        <f>IF(B20="Total",SUM(J$8:J19)+0.0001,IF(OR(B20="",I$2=I20),0,VLOOKUP(A20,Journal!$B$7:M$83,8)))</f>
        <v>0</v>
      </c>
      <c r="K20" s="127">
        <f>IF(B20="Total",SUM(K$8:K19)+0.0001,IF(OR(B20="",J20&lt;&gt;0),0,VLOOKUP(A20,Journal!$B$7:M$83,8)))</f>
        <v>0</v>
      </c>
      <c r="L20" s="104">
        <f t="shared" si="6"/>
        <v>0</v>
      </c>
      <c r="M20" s="128"/>
      <c r="P20">
        <f t="shared" si="2"/>
        <v>1.0000000000000001E-5</v>
      </c>
      <c r="R20" s="13">
        <f t="shared" si="3"/>
        <v>13</v>
      </c>
      <c r="S20" s="152">
        <f>IF(VLOOKUP(A20,Journal!$A$7:$E$80,5)=0,S19+1,VLOOKUP(A20,Journal!$A$7:$E$80,5))</f>
        <v>45670</v>
      </c>
      <c r="T20" s="151">
        <f>IF(H$2=VLOOKUP(A20,Journal!$A$7:$F$80,6),VLOOKUP(A20,Journal!$A$7:M$80,9),0)</f>
        <v>0</v>
      </c>
      <c r="U20" s="151">
        <f>IF(H$2=VLOOKUP(A20,Journal!$A$7:$G$80,7),VLOOKUP(A20,Journal!$A$7:M$80,9),0)</f>
        <v>0</v>
      </c>
      <c r="V20" s="151">
        <f t="shared" si="4"/>
        <v>40</v>
      </c>
      <c r="X20">
        <f t="shared" si="0"/>
        <v>0</v>
      </c>
      <c r="Y20" s="171">
        <f t="shared" si="1"/>
        <v>-999.73684210526358</v>
      </c>
    </row>
    <row r="21" spans="1:25">
      <c r="A21">
        <f t="shared" si="5"/>
        <v>14</v>
      </c>
      <c r="B21" s="105" t="str">
        <f>IF(OR(B20="Total",B20=""),"",IF(VLOOKUP(A21,Journal!$B$7:$E$83,4)=0,"Total",VLOOKUP(A21,Journal!$B$7:$D$83,3)))</f>
        <v/>
      </c>
      <c r="C21" s="103" t="str">
        <f>IF(B21="","",VLOOKUP(A21,Journal!$B$7:$E$83,4))</f>
        <v/>
      </c>
      <c r="D21" s="137" t="str">
        <f>IF(B21="","",VLOOKUP(A21,Journal!$B$7:$J$83,9))</f>
        <v/>
      </c>
      <c r="E21" s="139"/>
      <c r="F21" s="139"/>
      <c r="G21" s="138"/>
      <c r="H21" s="106" t="str">
        <f>IF(B21="","",VLOOKUP(A21,Journal!$B$7:$L$83,11))</f>
        <v/>
      </c>
      <c r="I21" s="101" t="str">
        <f>IF(B21="","",VLOOKUP(A21,Journal!$B$7:$M$83,12))</f>
        <v/>
      </c>
      <c r="J21" s="127">
        <f>IF(B21="Total",SUM(J$8:J20)+0.0001,IF(OR(B21="",I$2=I21),0,VLOOKUP(A21,Journal!$B$7:M$83,8)))</f>
        <v>0</v>
      </c>
      <c r="K21" s="127">
        <f>IF(B21="Total",SUM(K$8:K20)+0.0001,IF(OR(B21="",J21&lt;&gt;0),0,VLOOKUP(A21,Journal!$B$7:M$83,8)))</f>
        <v>0</v>
      </c>
      <c r="L21" s="104">
        <f t="shared" si="6"/>
        <v>0</v>
      </c>
      <c r="M21" s="128"/>
      <c r="P21">
        <f t="shared" si="2"/>
        <v>1.0000000000000001E-5</v>
      </c>
      <c r="R21" s="13">
        <f t="shared" si="3"/>
        <v>14</v>
      </c>
      <c r="S21" s="152">
        <f>IF(VLOOKUP(A21,Journal!$A$7:$E$80,5)=0,S20+1,VLOOKUP(A21,Journal!$A$7:$E$80,5))</f>
        <v>45671</v>
      </c>
      <c r="T21" s="151">
        <f>IF(H$2=VLOOKUP(A21,Journal!$A$7:$F$80,6),VLOOKUP(A21,Journal!$A$7:M$80,9),0)</f>
        <v>0</v>
      </c>
      <c r="U21" s="151">
        <f>IF(H$2=VLOOKUP(A21,Journal!$A$7:$G$80,7),VLOOKUP(A21,Journal!$A$7:M$80,9),0)</f>
        <v>0</v>
      </c>
      <c r="V21" s="151">
        <f t="shared" si="4"/>
        <v>40</v>
      </c>
      <c r="X21">
        <f t="shared" si="0"/>
        <v>0</v>
      </c>
      <c r="Y21" s="171">
        <f t="shared" si="1"/>
        <v>-999.71052631578993</v>
      </c>
    </row>
    <row r="22" spans="1:25">
      <c r="A22">
        <f t="shared" si="5"/>
        <v>15</v>
      </c>
      <c r="B22" s="105" t="str">
        <f>IF(OR(B21="Total",B21=""),"",IF(VLOOKUP(A22,Journal!$B$7:$E$83,4)=0,"Total",VLOOKUP(A22,Journal!$B$7:$D$83,3)))</f>
        <v/>
      </c>
      <c r="C22" s="103" t="str">
        <f>IF(B22="","",VLOOKUP(A22,Journal!$B$7:$E$83,4))</f>
        <v/>
      </c>
      <c r="D22" s="137" t="str">
        <f>IF(B22="","",VLOOKUP(A22,Journal!$B$7:$J$83,9))</f>
        <v/>
      </c>
      <c r="E22" s="139"/>
      <c r="F22" s="139"/>
      <c r="G22" s="138"/>
      <c r="H22" s="106" t="str">
        <f>IF(B22="","",VLOOKUP(A22,Journal!$B$7:$L$83,11))</f>
        <v/>
      </c>
      <c r="I22" s="101" t="str">
        <f>IF(B22="","",VLOOKUP(A22,Journal!$B$7:$M$83,12))</f>
        <v/>
      </c>
      <c r="J22" s="127">
        <f>IF(B22="Total",SUM(J$8:J21)+0.0001,IF(OR(B22="",I$2=I22),0,VLOOKUP(A22,Journal!$B$7:M$83,8)))</f>
        <v>0</v>
      </c>
      <c r="K22" s="127">
        <f>IF(B22="Total",SUM(K$8:K21)+0.0001,IF(OR(B22="",J22&lt;&gt;0),0,VLOOKUP(A22,Journal!$B$7:M$83,8)))</f>
        <v>0</v>
      </c>
      <c r="L22" s="104">
        <f t="shared" si="6"/>
        <v>0</v>
      </c>
      <c r="M22" s="128"/>
      <c r="P22">
        <f t="shared" si="2"/>
        <v>1.0000000000000001E-5</v>
      </c>
      <c r="R22" s="13">
        <f t="shared" si="3"/>
        <v>15</v>
      </c>
      <c r="S22" s="152">
        <f>IF(VLOOKUP(A22,Journal!$A$7:$E$80,5)=0,S21+1,VLOOKUP(A22,Journal!$A$7:$E$80,5))</f>
        <v>45672</v>
      </c>
      <c r="T22" s="151">
        <f>IF(H$2=VLOOKUP(A22,Journal!$A$7:$F$80,6),VLOOKUP(A22,Journal!$A$7:M$80,9),0)</f>
        <v>0</v>
      </c>
      <c r="U22" s="151">
        <f>IF(H$2=VLOOKUP(A22,Journal!$A$7:$G$80,7),VLOOKUP(A22,Journal!$A$7:M$80,9),0)</f>
        <v>0</v>
      </c>
      <c r="V22" s="151">
        <f t="shared" si="4"/>
        <v>40</v>
      </c>
      <c r="X22">
        <f t="shared" si="0"/>
        <v>0</v>
      </c>
      <c r="Y22" s="171">
        <f t="shared" si="1"/>
        <v>-999.68421052631629</v>
      </c>
    </row>
    <row r="23" spans="1:25">
      <c r="A23">
        <f t="shared" si="5"/>
        <v>16</v>
      </c>
      <c r="B23" s="105" t="str">
        <f>IF(OR(B22="Total",B22=""),"",IF(VLOOKUP(A23,Journal!$B$7:$E$83,4)=0,"Total",VLOOKUP(A23,Journal!$B$7:$D$83,3)))</f>
        <v/>
      </c>
      <c r="C23" s="103" t="str">
        <f>IF(B23="","",VLOOKUP(A23,Journal!$B$7:$E$83,4))</f>
        <v/>
      </c>
      <c r="D23" s="137" t="str">
        <f>IF(B23="","",VLOOKUP(A23,Journal!$B$7:$J$83,9))</f>
        <v/>
      </c>
      <c r="E23" s="139"/>
      <c r="F23" s="139"/>
      <c r="G23" s="138"/>
      <c r="H23" s="106" t="str">
        <f>IF(B23="","",VLOOKUP(A23,Journal!$B$7:$L$83,11))</f>
        <v/>
      </c>
      <c r="I23" s="101" t="str">
        <f>IF(B23="","",VLOOKUP(A23,Journal!$B$7:$M$83,12))</f>
        <v/>
      </c>
      <c r="J23" s="127">
        <f>IF(B23="Total",SUM(J$8:J22)+0.0001,IF(OR(B23="",I$2=I23),0,VLOOKUP(A23,Journal!$B$7:M$83,8)))</f>
        <v>0</v>
      </c>
      <c r="K23" s="127">
        <f>IF(B23="Total",SUM(K$8:K22)+0.0001,IF(OR(B23="",J23&lt;&gt;0),0,VLOOKUP(A23,Journal!$B$7:M$83,8)))</f>
        <v>0</v>
      </c>
      <c r="L23" s="104">
        <f t="shared" si="6"/>
        <v>0</v>
      </c>
      <c r="M23" s="128"/>
      <c r="P23">
        <f t="shared" si="2"/>
        <v>1.0000000000000001E-5</v>
      </c>
      <c r="R23" s="13">
        <f t="shared" si="3"/>
        <v>16</v>
      </c>
      <c r="S23" s="152">
        <f>IF(VLOOKUP(A23,Journal!$A$7:$E$80,5)=0,S22+1,VLOOKUP(A23,Journal!$A$7:$E$80,5))</f>
        <v>45673</v>
      </c>
      <c r="T23" s="151">
        <f>IF(H$2=VLOOKUP(A23,Journal!$A$7:$F$80,6),VLOOKUP(A23,Journal!$A$7:M$80,9),0)</f>
        <v>0</v>
      </c>
      <c r="U23" s="151">
        <f>IF(H$2=VLOOKUP(A23,Journal!$A$7:$G$80,7),VLOOKUP(A23,Journal!$A$7:M$80,9),0)</f>
        <v>0</v>
      </c>
      <c r="V23" s="151">
        <f t="shared" si="4"/>
        <v>40</v>
      </c>
      <c r="X23">
        <f t="shared" si="0"/>
        <v>0</v>
      </c>
      <c r="Y23" s="171">
        <f t="shared" si="1"/>
        <v>-999.65789473684265</v>
      </c>
    </row>
    <row r="24" spans="1:25">
      <c r="A24">
        <f t="shared" si="5"/>
        <v>17</v>
      </c>
      <c r="B24" s="105" t="str">
        <f>IF(OR(B23="Total",B23=""),"",IF(VLOOKUP(A24,Journal!$B$7:$E$83,4)=0,"Total",VLOOKUP(A24,Journal!$B$7:$D$83,3)))</f>
        <v/>
      </c>
      <c r="C24" s="103" t="str">
        <f>IF(B24="","",VLOOKUP(A24,Journal!$B$7:$E$83,4))</f>
        <v/>
      </c>
      <c r="D24" s="137" t="str">
        <f>IF(B24="","",VLOOKUP(A24,Journal!$B$7:$J$83,9))</f>
        <v/>
      </c>
      <c r="E24" s="139"/>
      <c r="F24" s="139"/>
      <c r="G24" s="138"/>
      <c r="H24" s="106" t="str">
        <f>IF(B24="","",VLOOKUP(A24,Journal!$B$7:$L$83,11))</f>
        <v/>
      </c>
      <c r="I24" s="101" t="str">
        <f>IF(B24="","",VLOOKUP(A24,Journal!$B$7:$M$83,12))</f>
        <v/>
      </c>
      <c r="J24" s="127">
        <f>IF(B24="Total",SUM(J$8:J23)+0.0001,IF(OR(B24="",I$2=I24),0,VLOOKUP(A24,Journal!$B$7:M$83,8)))</f>
        <v>0</v>
      </c>
      <c r="K24" s="127">
        <f>IF(B24="Total",SUM(K$8:K23)+0.0001,IF(OR(B24="",J24&lt;&gt;0),0,VLOOKUP(A24,Journal!$B$7:M$83,8)))</f>
        <v>0</v>
      </c>
      <c r="L24" s="104">
        <f t="shared" si="6"/>
        <v>0</v>
      </c>
      <c r="M24" s="128"/>
      <c r="P24">
        <f t="shared" si="2"/>
        <v>1.0000000000000001E-5</v>
      </c>
      <c r="R24" s="13">
        <f t="shared" si="3"/>
        <v>17</v>
      </c>
      <c r="S24" s="152">
        <f>IF(VLOOKUP(A24,Journal!$A$7:$E$80,5)=0,S23+1,VLOOKUP(A24,Journal!$A$7:$E$80,5))</f>
        <v>45674</v>
      </c>
      <c r="T24" s="151">
        <f>IF(H$2=VLOOKUP(A24,Journal!$A$7:$F$80,6),VLOOKUP(A24,Journal!$A$7:M$80,9),0)</f>
        <v>0</v>
      </c>
      <c r="U24" s="151">
        <f>IF(H$2=VLOOKUP(A24,Journal!$A$7:$G$80,7),VLOOKUP(A24,Journal!$A$7:M$80,9),0)</f>
        <v>0</v>
      </c>
      <c r="V24" s="151">
        <f t="shared" si="4"/>
        <v>40</v>
      </c>
      <c r="X24">
        <f t="shared" si="0"/>
        <v>0</v>
      </c>
      <c r="Y24" s="171">
        <f t="shared" si="1"/>
        <v>-999.63157894736901</v>
      </c>
    </row>
    <row r="25" spans="1:25">
      <c r="A25">
        <f t="shared" si="5"/>
        <v>18</v>
      </c>
      <c r="B25" s="105" t="str">
        <f>IF(OR(B24="Total",B24=""),"",IF(VLOOKUP(A25,Journal!$B$7:$E$83,4)=0,"Total",VLOOKUP(A25,Journal!$B$7:$D$83,3)))</f>
        <v/>
      </c>
      <c r="C25" s="103" t="str">
        <f>IF(B25="","",VLOOKUP(A25,Journal!$B$7:$E$83,4))</f>
        <v/>
      </c>
      <c r="D25" s="137" t="str">
        <f>IF(B25="","",VLOOKUP(A25,Journal!$B$7:$J$83,9))</f>
        <v/>
      </c>
      <c r="E25" s="139"/>
      <c r="F25" s="139"/>
      <c r="G25" s="138"/>
      <c r="H25" s="106" t="str">
        <f>IF(B25="","",VLOOKUP(A25,Journal!$B$7:$L$83,11))</f>
        <v/>
      </c>
      <c r="I25" s="101" t="str">
        <f>IF(B25="","",VLOOKUP(A25,Journal!$B$7:$M$83,12))</f>
        <v/>
      </c>
      <c r="J25" s="127">
        <f>IF(B25="Total",SUM(J$8:J24)+0.0001,IF(OR(B25="",I$2=I25),0,VLOOKUP(A25,Journal!$B$7:M$83,8)))</f>
        <v>0</v>
      </c>
      <c r="K25" s="127">
        <f>IF(B25="Total",SUM(K$8:K24)+0.0001,IF(OR(B25="",J25&lt;&gt;0),0,VLOOKUP(A25,Journal!$B$7:M$83,8)))</f>
        <v>0</v>
      </c>
      <c r="L25" s="104">
        <f t="shared" si="6"/>
        <v>0</v>
      </c>
      <c r="M25" s="128"/>
      <c r="P25">
        <f t="shared" si="2"/>
        <v>1.0000000000000001E-5</v>
      </c>
      <c r="R25" s="13">
        <f t="shared" si="3"/>
        <v>18</v>
      </c>
      <c r="S25" s="152">
        <f>IF(VLOOKUP(A25,Journal!$A$7:$E$80,5)=0,S24+1,VLOOKUP(A25,Journal!$A$7:$E$80,5))</f>
        <v>45675</v>
      </c>
      <c r="T25" s="151">
        <f>IF(H$2=VLOOKUP(A25,Journal!$A$7:$F$80,6),VLOOKUP(A25,Journal!$A$7:M$80,9),0)</f>
        <v>0</v>
      </c>
      <c r="U25" s="151">
        <f>IF(H$2=VLOOKUP(A25,Journal!$A$7:$G$80,7),VLOOKUP(A25,Journal!$A$7:M$80,9),0)</f>
        <v>0</v>
      </c>
      <c r="V25" s="151">
        <f t="shared" si="4"/>
        <v>40</v>
      </c>
      <c r="X25">
        <f t="shared" si="0"/>
        <v>0</v>
      </c>
      <c r="Y25" s="171">
        <f t="shared" si="1"/>
        <v>-999.60526315789537</v>
      </c>
    </row>
    <row r="26" spans="1:25">
      <c r="A26">
        <f t="shared" si="5"/>
        <v>19</v>
      </c>
      <c r="B26" s="105" t="str">
        <f>IF(OR(B25="Total",B25=""),"",IF(VLOOKUP(A26,Journal!$B$7:$E$83,4)=0,"Total",VLOOKUP(A26,Journal!$B$7:$D$83,3)))</f>
        <v/>
      </c>
      <c r="C26" s="103" t="str">
        <f>IF(B26="","",VLOOKUP(A26,Journal!$B$7:$E$83,4))</f>
        <v/>
      </c>
      <c r="D26" s="137" t="str">
        <f>IF(B26="","",VLOOKUP(A26,Journal!$B$7:$J$83,9))</f>
        <v/>
      </c>
      <c r="E26" s="139"/>
      <c r="F26" s="139"/>
      <c r="G26" s="138"/>
      <c r="H26" s="106" t="str">
        <f>IF(B26="","",VLOOKUP(A26,Journal!$B$7:$L$83,11))</f>
        <v/>
      </c>
      <c r="I26" s="101" t="str">
        <f>IF(B26="","",VLOOKUP(A26,Journal!$B$7:$M$83,12))</f>
        <v/>
      </c>
      <c r="J26" s="127">
        <f>IF(B26="Total",SUM(J$8:J25)+0.0001,IF(OR(B26="",I$2=I26),0,VLOOKUP(A26,Journal!$B$7:M$83,8)))</f>
        <v>0</v>
      </c>
      <c r="K26" s="127">
        <f>IF(B26="Total",SUM(K$8:K25)+0.0001,IF(OR(B26="",J26&lt;&gt;0),0,VLOOKUP(A26,Journal!$B$7:M$83,8)))</f>
        <v>0</v>
      </c>
      <c r="L26" s="104">
        <f t="shared" si="6"/>
        <v>0</v>
      </c>
      <c r="M26" s="128"/>
      <c r="P26">
        <f t="shared" si="2"/>
        <v>1.0000000000000001E-5</v>
      </c>
      <c r="R26" s="13">
        <f t="shared" si="3"/>
        <v>19</v>
      </c>
      <c r="S26" s="152">
        <f>IF(VLOOKUP(A26,Journal!$A$7:$E$80,5)=0,S25+1,VLOOKUP(A26,Journal!$A$7:$E$80,5))</f>
        <v>45676</v>
      </c>
      <c r="T26" s="151">
        <f>IF(H$2=VLOOKUP(A26,Journal!$A$7:$F$80,6),VLOOKUP(A26,Journal!$A$7:M$80,9),0)</f>
        <v>0</v>
      </c>
      <c r="U26" s="151">
        <f>IF(H$2=VLOOKUP(A26,Journal!$A$7:$G$80,7),VLOOKUP(A26,Journal!$A$7:M$80,9),0)</f>
        <v>0</v>
      </c>
      <c r="V26" s="151">
        <f t="shared" si="4"/>
        <v>40</v>
      </c>
      <c r="X26">
        <f t="shared" si="0"/>
        <v>0</v>
      </c>
      <c r="Y26" s="171">
        <f t="shared" si="1"/>
        <v>-999.57894736842172</v>
      </c>
    </row>
    <row r="27" spans="1:25">
      <c r="A27">
        <f t="shared" si="5"/>
        <v>20</v>
      </c>
      <c r="B27" s="105" t="str">
        <f>IF(OR(B26="Total",B26=""),"",IF(VLOOKUP(A27,Journal!$B$7:$E$83,4)=0,"Total",VLOOKUP(A27,Journal!$B$7:$D$83,3)))</f>
        <v/>
      </c>
      <c r="C27" s="103" t="str">
        <f>IF(B27="","",VLOOKUP(A27,Journal!$B$7:$E$83,4))</f>
        <v/>
      </c>
      <c r="D27" s="137" t="str">
        <f>IF(B27="","",VLOOKUP(A27,Journal!$B$7:$J$83,9))</f>
        <v/>
      </c>
      <c r="E27" s="139"/>
      <c r="F27" s="139"/>
      <c r="G27" s="138"/>
      <c r="H27" s="106" t="str">
        <f>IF(B27="","",VLOOKUP(A27,Journal!$B$7:$L$83,11))</f>
        <v/>
      </c>
      <c r="I27" s="101" t="str">
        <f>IF(B27="","",VLOOKUP(A27,Journal!$B$7:$M$83,12))</f>
        <v/>
      </c>
      <c r="J27" s="127">
        <f>IF(B27="Total",SUM(J$8:J26)+0.0001,IF(OR(B27="",I$2=I27),0,VLOOKUP(A27,Journal!$B$7:M$83,8)))</f>
        <v>0</v>
      </c>
      <c r="K27" s="127">
        <f>IF(B27="Total",SUM(K$8:K26)+0.0001,IF(OR(B27="",J27&lt;&gt;0),0,VLOOKUP(A27,Journal!$B$7:M$83,8)))</f>
        <v>0</v>
      </c>
      <c r="L27" s="104">
        <f t="shared" si="6"/>
        <v>0</v>
      </c>
      <c r="M27" s="128"/>
      <c r="N27" s="111"/>
      <c r="P27">
        <f t="shared" si="2"/>
        <v>1.0000000000000001E-5</v>
      </c>
      <c r="R27" s="13">
        <f t="shared" si="3"/>
        <v>20</v>
      </c>
      <c r="S27" s="152">
        <f>IF(VLOOKUP(A27,Journal!$A$7:$E$80,5)=0,S26+1,VLOOKUP(A27,Journal!$A$7:$E$80,5))</f>
        <v>45677</v>
      </c>
      <c r="T27" s="151">
        <f>IF(H$2=VLOOKUP(A27,Journal!$A$7:$F$80,6),VLOOKUP(A27,Journal!$A$7:M$80,9),0)</f>
        <v>0</v>
      </c>
      <c r="U27" s="151">
        <f>IF(H$2=VLOOKUP(A27,Journal!$A$7:$G$80,7),VLOOKUP(A27,Journal!$A$7:M$80,9),0)</f>
        <v>0</v>
      </c>
      <c r="V27" s="151">
        <f t="shared" si="4"/>
        <v>40</v>
      </c>
      <c r="X27">
        <f t="shared" si="0"/>
        <v>0</v>
      </c>
      <c r="Y27" s="171">
        <f t="shared" si="1"/>
        <v>-999.55263157894808</v>
      </c>
    </row>
    <row r="28" spans="1:25">
      <c r="A28">
        <f t="shared" si="5"/>
        <v>21</v>
      </c>
      <c r="B28" s="105" t="str">
        <f>IF(OR(B27="Total",B27=""),"",IF(VLOOKUP(A28,Journal!$B$7:$E$83,4)=0,"Total",VLOOKUP(A28,Journal!$B$7:$D$83,3)))</f>
        <v/>
      </c>
      <c r="C28" s="103" t="str">
        <f>IF(B28="","",VLOOKUP(A28,Journal!$B$7:$E$83,4))</f>
        <v/>
      </c>
      <c r="D28" s="137" t="str">
        <f>IF(B28="","",VLOOKUP(A28,Journal!$B$7:$J$83,9))</f>
        <v/>
      </c>
      <c r="E28" s="139"/>
      <c r="F28" s="139"/>
      <c r="G28" s="138"/>
      <c r="H28" s="106" t="str">
        <f>IF(B28="","",VLOOKUP(A28,Journal!$B$7:$L$83,11))</f>
        <v/>
      </c>
      <c r="I28" s="101" t="str">
        <f>IF(B28="","",VLOOKUP(A28,Journal!$B$7:$M$83,12))</f>
        <v/>
      </c>
      <c r="J28" s="127">
        <f>IF(B28="Total",SUM(J$8:J27)+0.0001,IF(OR(B28="",I$2=I28),0,VLOOKUP(A28,Journal!$B$7:M$83,8)))</f>
        <v>0</v>
      </c>
      <c r="K28" s="127">
        <f>IF(B28="Total",SUM(K$8:K27)+0.0001,IF(OR(B28="",J28&lt;&gt;0),0,VLOOKUP(A28,Journal!$B$7:M$83,8)))</f>
        <v>0</v>
      </c>
      <c r="L28" s="104">
        <f t="shared" si="6"/>
        <v>0</v>
      </c>
      <c r="M28" s="128"/>
      <c r="P28">
        <f t="shared" si="2"/>
        <v>1.0000000000000001E-5</v>
      </c>
      <c r="R28" s="13">
        <f t="shared" si="3"/>
        <v>21</v>
      </c>
      <c r="S28" s="152">
        <f>IF(VLOOKUP(A28,Journal!$A$7:$E$80,5)=0,S27+1,VLOOKUP(A28,Journal!$A$7:$E$80,5))</f>
        <v>45678</v>
      </c>
      <c r="T28" s="151">
        <f>IF(H$2=VLOOKUP(A28,Journal!$A$7:$F$80,6),VLOOKUP(A28,Journal!$A$7:M$80,9),0)</f>
        <v>0</v>
      </c>
      <c r="U28" s="151">
        <f>IF(H$2=VLOOKUP(A28,Journal!$A$7:$G$80,7),VLOOKUP(A28,Journal!$A$7:M$80,9),0)</f>
        <v>0</v>
      </c>
      <c r="V28" s="151">
        <f t="shared" si="4"/>
        <v>40</v>
      </c>
      <c r="X28">
        <f t="shared" si="0"/>
        <v>0</v>
      </c>
      <c r="Y28" s="171">
        <f t="shared" si="1"/>
        <v>-999.52631578947444</v>
      </c>
    </row>
    <row r="29" spans="1:25">
      <c r="A29">
        <f t="shared" si="5"/>
        <v>22</v>
      </c>
      <c r="B29" s="105" t="str">
        <f>IF(OR(B28="Total",B28=""),"",IF(VLOOKUP(A29,Journal!$B$7:$E$83,4)=0,"Total",VLOOKUP(A29,Journal!$B$7:$D$83,3)))</f>
        <v/>
      </c>
      <c r="C29" s="103" t="str">
        <f>IF(B29="","",VLOOKUP(A29,Journal!$B$7:$E$83,4))</f>
        <v/>
      </c>
      <c r="D29" s="137" t="str">
        <f>IF(B29="","",VLOOKUP(A29,Journal!$B$7:$J$83,9))</f>
        <v/>
      </c>
      <c r="E29" s="139"/>
      <c r="F29" s="139"/>
      <c r="G29" s="138"/>
      <c r="H29" s="106" t="str">
        <f>IF(B29="","",VLOOKUP(A29,Journal!$B$7:$L$83,11))</f>
        <v/>
      </c>
      <c r="I29" s="101" t="str">
        <f>IF(B29="","",VLOOKUP(A29,Journal!$B$7:$M$83,12))</f>
        <v/>
      </c>
      <c r="J29" s="127">
        <f>IF(B29="Total",SUM(J$8:J28)+0.0001,IF(OR(B29="",I$2=I29),0,VLOOKUP(A29,Journal!$B$7:M$83,8)))</f>
        <v>0</v>
      </c>
      <c r="K29" s="127">
        <f>IF(B29="Total",SUM(K$8:K28)+0.0001,IF(OR(B29="",J29&lt;&gt;0),0,VLOOKUP(A29,Journal!$B$7:M$83,8)))</f>
        <v>0</v>
      </c>
      <c r="L29" s="104">
        <f t="shared" si="6"/>
        <v>0</v>
      </c>
      <c r="M29" s="128"/>
      <c r="P29">
        <f t="shared" si="2"/>
        <v>1.0000000000000001E-5</v>
      </c>
      <c r="R29" s="13">
        <f t="shared" si="3"/>
        <v>22</v>
      </c>
      <c r="S29" s="152">
        <f>IF(VLOOKUP(A29,Journal!$A$7:$E$80,5)=0,S28+1,VLOOKUP(A29,Journal!$A$7:$E$80,5))</f>
        <v>45679</v>
      </c>
      <c r="T29" s="151">
        <f>IF(H$2=VLOOKUP(A29,Journal!$A$7:$F$80,6),VLOOKUP(A29,Journal!$A$7:M$80,9),0)</f>
        <v>0</v>
      </c>
      <c r="U29" s="151">
        <f>IF(H$2=VLOOKUP(A29,Journal!$A$7:$G$80,7),VLOOKUP(A29,Journal!$A$7:M$80,9),0)</f>
        <v>0</v>
      </c>
      <c r="V29" s="151">
        <f t="shared" si="4"/>
        <v>40</v>
      </c>
      <c r="X29">
        <f t="shared" si="0"/>
        <v>0</v>
      </c>
      <c r="Y29" s="171">
        <f t="shared" si="1"/>
        <v>-999.5000000000008</v>
      </c>
    </row>
    <row r="30" spans="1:25">
      <c r="A30">
        <f t="shared" si="5"/>
        <v>23</v>
      </c>
      <c r="B30" s="105" t="str">
        <f>IF(OR(B29="Total",B29=""),"",IF(VLOOKUP(A30,Journal!$B$7:$E$83,4)=0,"Total",VLOOKUP(A30,Journal!$B$7:$D$83,3)))</f>
        <v/>
      </c>
      <c r="C30" s="103" t="str">
        <f>IF(B30="","",VLOOKUP(A30,Journal!$B$7:$E$83,4))</f>
        <v/>
      </c>
      <c r="D30" s="137" t="str">
        <f>IF(B30="","",VLOOKUP(A30,Journal!$B$7:$J$83,9))</f>
        <v/>
      </c>
      <c r="E30" s="139"/>
      <c r="F30" s="139"/>
      <c r="G30" s="138"/>
      <c r="H30" s="106" t="str">
        <f>IF(B30="","",VLOOKUP(A30,Journal!$B$7:$L$83,11))</f>
        <v/>
      </c>
      <c r="I30" s="101" t="str">
        <f>IF(B30="","",VLOOKUP(A30,Journal!$B$7:$M$83,12))</f>
        <v/>
      </c>
      <c r="J30" s="127">
        <f>IF(B30="Total",SUM(J$8:J29)+0.0001,IF(OR(B30="",I$2=I30),0,VLOOKUP(A30,Journal!$B$7:M$83,8)))</f>
        <v>0</v>
      </c>
      <c r="K30" s="127">
        <f>IF(B30="Total",SUM(K$8:K29)+0.0001,IF(OR(B30="",J30&lt;&gt;0),0,VLOOKUP(A30,Journal!$B$7:M$83,8)))</f>
        <v>0</v>
      </c>
      <c r="L30" s="104">
        <f t="shared" si="6"/>
        <v>0</v>
      </c>
      <c r="M30" s="128"/>
      <c r="P30">
        <f t="shared" si="2"/>
        <v>1.0000000000000001E-5</v>
      </c>
      <c r="R30" s="13">
        <f t="shared" si="3"/>
        <v>23</v>
      </c>
      <c r="S30" s="152">
        <f>IF(VLOOKUP(A30,Journal!$A$7:$E$80,5)=0,S29+1,VLOOKUP(A30,Journal!$A$7:$E$80,5))</f>
        <v>45680</v>
      </c>
      <c r="T30" s="151">
        <f>IF(H$2=VLOOKUP(A30,Journal!$A$7:$F$80,6),VLOOKUP(A30,Journal!$A$7:M$80,9),0)</f>
        <v>0</v>
      </c>
      <c r="U30" s="151">
        <f>IF(H$2=VLOOKUP(A30,Journal!$A$7:$G$80,7),VLOOKUP(A30,Journal!$A$7:M$80,9),0)</f>
        <v>0</v>
      </c>
      <c r="V30" s="151">
        <f t="shared" si="4"/>
        <v>40</v>
      </c>
      <c r="X30">
        <f t="shared" si="0"/>
        <v>0</v>
      </c>
      <c r="Y30" s="171">
        <f t="shared" si="1"/>
        <v>-999.47368421052715</v>
      </c>
    </row>
    <row r="31" spans="1:25">
      <c r="A31">
        <f t="shared" si="5"/>
        <v>24</v>
      </c>
      <c r="B31" s="105" t="str">
        <f>IF(OR(B30="Total",B30=""),"",IF(VLOOKUP(A31,Journal!$B$7:$E$83,4)=0,"Total",VLOOKUP(A31,Journal!$B$7:$D$83,3)))</f>
        <v/>
      </c>
      <c r="C31" s="103" t="str">
        <f>IF(B31="","",VLOOKUP(A31,Journal!$B$7:$E$83,4))</f>
        <v/>
      </c>
      <c r="D31" s="137" t="str">
        <f>IF(B31="","",VLOOKUP(A31,Journal!$B$7:$J$83,9))</f>
        <v/>
      </c>
      <c r="E31" s="139"/>
      <c r="F31" s="139"/>
      <c r="G31" s="138"/>
      <c r="H31" s="106" t="str">
        <f>IF(B31="","",VLOOKUP(A31,Journal!$B$7:$L$83,11))</f>
        <v/>
      </c>
      <c r="I31" s="101" t="str">
        <f>IF(B31="","",VLOOKUP(A31,Journal!$B$7:$M$83,12))</f>
        <v/>
      </c>
      <c r="J31" s="127">
        <f>IF(B31="Total",SUM(J$8:J30)+0.0001,IF(OR(B31="",I$2=I31),0,VLOOKUP(A31,Journal!$B$7:M$83,8)))</f>
        <v>0</v>
      </c>
      <c r="K31" s="127">
        <f>IF(B31="Total",SUM(K$8:K30)+0.0001,IF(OR(B31="",J31&lt;&gt;0),0,VLOOKUP(A31,Journal!$B$7:M$83,8)))</f>
        <v>0</v>
      </c>
      <c r="L31" s="104">
        <f t="shared" si="6"/>
        <v>0</v>
      </c>
      <c r="M31" s="128"/>
      <c r="P31">
        <f t="shared" si="2"/>
        <v>1.0000000000000001E-5</v>
      </c>
      <c r="R31" s="13">
        <f t="shared" si="3"/>
        <v>24</v>
      </c>
      <c r="S31" s="152">
        <f>IF(VLOOKUP(A31,Journal!$A$7:$E$80,5)=0,S30+1,VLOOKUP(A31,Journal!$A$7:$E$80,5))</f>
        <v>45681</v>
      </c>
      <c r="T31" s="151">
        <f>IF(H$2=VLOOKUP(A31,Journal!$A$7:$F$80,6),VLOOKUP(A31,Journal!$A$7:M$80,9),0)</f>
        <v>0</v>
      </c>
      <c r="U31" s="151">
        <f>IF(H$2=VLOOKUP(A31,Journal!$A$7:$G$80,7),VLOOKUP(A31,Journal!$A$7:M$80,9),0)</f>
        <v>0</v>
      </c>
      <c r="V31" s="151">
        <f t="shared" si="4"/>
        <v>40</v>
      </c>
      <c r="X31">
        <f t="shared" si="0"/>
        <v>0</v>
      </c>
      <c r="Y31" s="171">
        <f t="shared" si="1"/>
        <v>-999.44736842105351</v>
      </c>
    </row>
    <row r="32" spans="1:25">
      <c r="A32">
        <f t="shared" si="5"/>
        <v>25</v>
      </c>
      <c r="B32" s="105" t="str">
        <f>IF(OR(B31="Total",B31=""),"",IF(VLOOKUP(A32,Journal!$B$7:$E$83,4)=0,"Total",VLOOKUP(A32,Journal!$B$7:$D$83,3)))</f>
        <v/>
      </c>
      <c r="C32" s="103" t="str">
        <f>IF(B32="","",VLOOKUP(A32,Journal!$B$7:$E$83,4))</f>
        <v/>
      </c>
      <c r="D32" s="137" t="str">
        <f>IF(B32="","",VLOOKUP(A32,Journal!$B$7:$J$83,9))</f>
        <v/>
      </c>
      <c r="E32" s="139"/>
      <c r="F32" s="139"/>
      <c r="G32" s="138"/>
      <c r="H32" s="106" t="str">
        <f>IF(B32="","",VLOOKUP(A32,Journal!$B$7:$L$83,11))</f>
        <v/>
      </c>
      <c r="I32" s="101" t="str">
        <f>IF(B32="","",VLOOKUP(A32,Journal!$B$7:$M$83,12))</f>
        <v/>
      </c>
      <c r="J32" s="127">
        <f>IF(B32="Total",SUM(J$8:J31)+0.0001,IF(OR(B32="",I$2=I32),0,VLOOKUP(A32,Journal!$B$7:M$83,8)))</f>
        <v>0</v>
      </c>
      <c r="K32" s="127">
        <f>IF(B32="Total",SUM(K$8:K31)+0.0001,IF(OR(B32="",J32&lt;&gt;0),0,VLOOKUP(A32,Journal!$B$7:M$83,8)))</f>
        <v>0</v>
      </c>
      <c r="L32" s="104">
        <f t="shared" si="6"/>
        <v>0</v>
      </c>
      <c r="M32" s="128"/>
      <c r="P32">
        <f t="shared" si="2"/>
        <v>1.0000000000000001E-5</v>
      </c>
      <c r="R32" s="13">
        <f t="shared" si="3"/>
        <v>25</v>
      </c>
      <c r="S32" s="152">
        <f>IF(VLOOKUP(A32,Journal!$A$7:$E$80,5)=0,S31+1,VLOOKUP(A32,Journal!$A$7:$E$80,5))</f>
        <v>45682</v>
      </c>
      <c r="T32" s="151">
        <f>IF(H$2=VLOOKUP(A32,Journal!$A$7:$F$80,6),VLOOKUP(A32,Journal!$A$7:M$80,9),0)</f>
        <v>0</v>
      </c>
      <c r="U32" s="151">
        <f>IF(H$2=VLOOKUP(A32,Journal!$A$7:$G$80,7),VLOOKUP(A32,Journal!$A$7:M$80,9),0)</f>
        <v>0</v>
      </c>
      <c r="V32" s="151">
        <f t="shared" si="4"/>
        <v>40</v>
      </c>
      <c r="X32">
        <f t="shared" si="0"/>
        <v>0</v>
      </c>
      <c r="Y32" s="171">
        <f t="shared" si="1"/>
        <v>-999.42105263157987</v>
      </c>
    </row>
    <row r="33" spans="1:25">
      <c r="A33">
        <f t="shared" si="5"/>
        <v>26</v>
      </c>
      <c r="B33" s="105" t="str">
        <f>IF(OR(B32="Total",B32=""),"",IF(VLOOKUP(A33,Journal!$B$7:$E$83,4)=0,"Total",VLOOKUP(A33,Journal!$B$7:$D$83,3)))</f>
        <v/>
      </c>
      <c r="C33" s="103" t="str">
        <f>IF(B33="","",VLOOKUP(A33,Journal!$B$7:$E$83,4))</f>
        <v/>
      </c>
      <c r="D33" s="137" t="str">
        <f>IF(B33="","",VLOOKUP(A33,Journal!$B$7:$J$83,9))</f>
        <v/>
      </c>
      <c r="E33" s="139"/>
      <c r="F33" s="139"/>
      <c r="G33" s="138"/>
      <c r="H33" s="106" t="str">
        <f>IF(B33="","",VLOOKUP(A33,Journal!$B$7:$L$83,11))</f>
        <v/>
      </c>
      <c r="I33" s="101" t="str">
        <f>IF(B33="","",VLOOKUP(A33,Journal!$B$7:$M$83,12))</f>
        <v/>
      </c>
      <c r="J33" s="127">
        <f>IF(B33="Total",SUM(J$8:J32)+0.0001,IF(OR(B33="",I$2=I33),0,VLOOKUP(A33,Journal!$B$7:M$83,8)))</f>
        <v>0</v>
      </c>
      <c r="K33" s="127">
        <f>IF(B33="Total",SUM(K$8:K32)+0.0001,IF(OR(B33="",J33&lt;&gt;0),0,VLOOKUP(A33,Journal!$B$7:M$83,8)))</f>
        <v>0</v>
      </c>
      <c r="L33" s="104">
        <f t="shared" si="6"/>
        <v>0</v>
      </c>
      <c r="M33" s="128"/>
      <c r="P33">
        <f t="shared" si="2"/>
        <v>1.0000000000000001E-5</v>
      </c>
      <c r="R33" s="13">
        <f t="shared" si="3"/>
        <v>26</v>
      </c>
      <c r="S33" s="152">
        <f>IF(VLOOKUP(A33,Journal!$A$7:$E$80,5)=0,S32+1,VLOOKUP(A33,Journal!$A$7:$E$80,5))</f>
        <v>45683</v>
      </c>
      <c r="T33" s="151">
        <f>IF(H$2=VLOOKUP(A33,Journal!$A$7:$F$80,6),VLOOKUP(A33,Journal!$A$7:M$80,9),0)</f>
        <v>0</v>
      </c>
      <c r="U33" s="151">
        <f>IF(H$2=VLOOKUP(A33,Journal!$A$7:$G$80,7),VLOOKUP(A33,Journal!$A$7:M$80,9),0)</f>
        <v>0</v>
      </c>
      <c r="V33" s="151">
        <f t="shared" si="4"/>
        <v>40</v>
      </c>
      <c r="X33">
        <f t="shared" si="0"/>
        <v>0</v>
      </c>
      <c r="Y33" s="171">
        <f t="shared" si="1"/>
        <v>-999.39473684210623</v>
      </c>
    </row>
    <row r="34" spans="1:25">
      <c r="A34">
        <f t="shared" si="5"/>
        <v>27</v>
      </c>
      <c r="B34" s="105" t="str">
        <f>IF(OR(B33="Total",B33=""),"",IF(VLOOKUP(A34,Journal!$B$7:$E$83,4)=0,"Total",VLOOKUP(A34,Journal!$B$7:$D$83,3)))</f>
        <v/>
      </c>
      <c r="C34" s="103" t="str">
        <f>IF(B34="","",VLOOKUP(A34,Journal!$B$7:$E$83,4))</f>
        <v/>
      </c>
      <c r="D34" s="137" t="str">
        <f>IF(B34="","",VLOOKUP(A34,Journal!$B$7:$J$83,9))</f>
        <v/>
      </c>
      <c r="E34" s="139"/>
      <c r="F34" s="139"/>
      <c r="G34" s="138"/>
      <c r="H34" s="106" t="str">
        <f>IF(B34="","",VLOOKUP(A34,Journal!$B$7:$L$83,11))</f>
        <v/>
      </c>
      <c r="I34" s="101" t="str">
        <f>IF(B34="","",VLOOKUP(A34,Journal!$B$7:$M$83,12))</f>
        <v/>
      </c>
      <c r="J34" s="127">
        <f>IF(B34="Total",SUM(J$8:J33)+0.0001,IF(OR(B34="",I$2=I34),0,VLOOKUP(A34,Journal!$B$7:M$83,8)))</f>
        <v>0</v>
      </c>
      <c r="K34" s="127">
        <f>IF(B34="Total",SUM(K$8:K33)+0.0001,IF(OR(B34="",J34&lt;&gt;0),0,VLOOKUP(A34,Journal!$B$7:M$83,8)))</f>
        <v>0</v>
      </c>
      <c r="L34" s="104">
        <f t="shared" si="6"/>
        <v>0</v>
      </c>
      <c r="M34" s="128"/>
      <c r="P34">
        <f t="shared" si="2"/>
        <v>1.0000000000000001E-5</v>
      </c>
      <c r="R34" s="13">
        <f t="shared" si="3"/>
        <v>27</v>
      </c>
      <c r="S34" s="152">
        <f>IF(VLOOKUP(A34,Journal!$A$7:$E$80,5)=0,S33+1,VLOOKUP(A34,Journal!$A$7:$E$80,5))</f>
        <v>45684</v>
      </c>
      <c r="T34" s="151">
        <f>IF(H$2=VLOOKUP(A34,Journal!$A$7:$F$80,6),VLOOKUP(A34,Journal!$A$7:M$80,9),0)</f>
        <v>0</v>
      </c>
      <c r="U34" s="151">
        <f>IF(H$2=VLOOKUP(A34,Journal!$A$7:$G$80,7),VLOOKUP(A34,Journal!$A$7:M$80,9),0)</f>
        <v>0</v>
      </c>
      <c r="V34" s="151">
        <f t="shared" si="4"/>
        <v>40</v>
      </c>
      <c r="X34">
        <f t="shared" si="0"/>
        <v>0</v>
      </c>
      <c r="Y34" s="171">
        <f t="shared" si="1"/>
        <v>-999.36842105263258</v>
      </c>
    </row>
    <row r="35" spans="1:25">
      <c r="A35">
        <f t="shared" si="5"/>
        <v>28</v>
      </c>
      <c r="B35" s="105" t="str">
        <f>IF(OR(B34="Total",B34=""),"",IF(VLOOKUP(A35,Journal!$B$7:$E$83,4)=0,"Total",VLOOKUP(A35,Journal!$B$7:$D$83,3)))</f>
        <v/>
      </c>
      <c r="C35" s="103" t="str">
        <f>IF(B35="","",VLOOKUP(A35,Journal!$B$7:$E$83,4))</f>
        <v/>
      </c>
      <c r="D35" s="137" t="str">
        <f>IF(B35="","",VLOOKUP(A35,Journal!$B$7:$J$83,9))</f>
        <v/>
      </c>
      <c r="E35" s="139"/>
      <c r="F35" s="139"/>
      <c r="G35" s="138"/>
      <c r="H35" s="106" t="str">
        <f>IF(B35="","",VLOOKUP(A35,Journal!$B$7:$L$83,11))</f>
        <v/>
      </c>
      <c r="I35" s="101" t="str">
        <f>IF(B35="","",VLOOKUP(A35,Journal!$B$7:$M$83,12))</f>
        <v/>
      </c>
      <c r="J35" s="127">
        <f>IF(B35="Total",SUM(J$8:J34)+0.0001,IF(OR(B35="",I$2=I35),0,VLOOKUP(A35,Journal!$B$7:M$83,8)))</f>
        <v>0</v>
      </c>
      <c r="K35" s="127">
        <f>IF(B35="Total",SUM(K$8:K34)+0.0001,IF(OR(B35="",J35&lt;&gt;0),0,VLOOKUP(A35,Journal!$B$7:M$83,8)))</f>
        <v>0</v>
      </c>
      <c r="L35" s="104">
        <f t="shared" si="6"/>
        <v>0</v>
      </c>
      <c r="M35" s="128"/>
      <c r="P35">
        <f t="shared" si="2"/>
        <v>1.0000000000000001E-5</v>
      </c>
      <c r="R35" s="13">
        <f t="shared" si="3"/>
        <v>28</v>
      </c>
      <c r="S35" s="152">
        <f>IF(VLOOKUP(A35,Journal!$A$7:$E$80,5)=0,S34+1,VLOOKUP(A35,Journal!$A$7:$E$80,5))</f>
        <v>45685</v>
      </c>
      <c r="T35" s="151">
        <f>IF(H$2=VLOOKUP(A35,Journal!$A$7:$F$80,6),VLOOKUP(A35,Journal!$A$7:M$80,9),0)</f>
        <v>0</v>
      </c>
      <c r="U35" s="151">
        <f>IF(H$2=VLOOKUP(A35,Journal!$A$7:$G$80,7),VLOOKUP(A35,Journal!$A$7:M$80,9),0)</f>
        <v>0</v>
      </c>
      <c r="V35" s="151">
        <f t="shared" si="4"/>
        <v>40</v>
      </c>
      <c r="X35">
        <f t="shared" si="0"/>
        <v>0</v>
      </c>
      <c r="Y35" s="171">
        <f t="shared" si="1"/>
        <v>-999.34210526315894</v>
      </c>
    </row>
    <row r="36" spans="1:25">
      <c r="A36">
        <f t="shared" si="5"/>
        <v>29</v>
      </c>
      <c r="B36" s="105" t="str">
        <f>IF(OR(B35="Total",B35=""),"",IF(VLOOKUP(A36,Journal!$B$7:$E$83,4)=0,"Total",VLOOKUP(A36,Journal!$B$7:$D$83,3)))</f>
        <v/>
      </c>
      <c r="C36" s="103" t="str">
        <f>IF(B36="","",VLOOKUP(A36,Journal!$B$7:$E$83,4))</f>
        <v/>
      </c>
      <c r="D36" s="137" t="str">
        <f>IF(B36="","",VLOOKUP(A36,Journal!$B$7:$J$83,9))</f>
        <v/>
      </c>
      <c r="E36" s="139"/>
      <c r="F36" s="139"/>
      <c r="G36" s="138"/>
      <c r="H36" s="106" t="str">
        <f>IF(B36="","",VLOOKUP(A36,Journal!$B$7:$L$83,11))</f>
        <v/>
      </c>
      <c r="I36" s="101" t="str">
        <f>IF(B36="","",VLOOKUP(A36,Journal!$B$7:$M$83,12))</f>
        <v/>
      </c>
      <c r="J36" s="127">
        <f>IF(B36="Total",SUM(J$8:J35)+0.0001,IF(OR(B36="",I$2=I36),0,VLOOKUP(A36,Journal!$B$7:M$83,8)))</f>
        <v>0</v>
      </c>
      <c r="K36" s="127">
        <f>IF(B36="Total",SUM(K$8:K35)+0.0001,IF(OR(B36="",J36&lt;&gt;0),0,VLOOKUP(A36,Journal!$B$7:M$83,8)))</f>
        <v>0</v>
      </c>
      <c r="L36" s="104">
        <f t="shared" si="6"/>
        <v>0</v>
      </c>
      <c r="M36" s="128"/>
      <c r="P36">
        <f t="shared" si="2"/>
        <v>1.0000000000000001E-5</v>
      </c>
      <c r="R36" s="13">
        <f t="shared" si="3"/>
        <v>29</v>
      </c>
      <c r="S36" s="152">
        <f>IF(VLOOKUP(A36,Journal!$A$7:$E$80,5)=0,S35+1,VLOOKUP(A36,Journal!$A$7:$E$80,5))</f>
        <v>45686</v>
      </c>
      <c r="T36" s="151">
        <f>IF(H$2=VLOOKUP(A36,Journal!$A$7:$F$80,6),VLOOKUP(A36,Journal!$A$7:M$80,9),0)</f>
        <v>0</v>
      </c>
      <c r="U36" s="151">
        <f>IF(H$2=VLOOKUP(A36,Journal!$A$7:$G$80,7),VLOOKUP(A36,Journal!$A$7:M$80,9),0)</f>
        <v>0</v>
      </c>
      <c r="V36" s="151">
        <f t="shared" si="4"/>
        <v>40</v>
      </c>
      <c r="X36">
        <f t="shared" si="0"/>
        <v>0</v>
      </c>
      <c r="Y36" s="171">
        <f t="shared" si="1"/>
        <v>-999.3157894736853</v>
      </c>
    </row>
    <row r="37" spans="1:25">
      <c r="A37">
        <f t="shared" si="5"/>
        <v>30</v>
      </c>
      <c r="B37" s="105" t="str">
        <f>IF(OR(B36="Total",B36=""),"",IF(VLOOKUP(A37,Journal!$B$7:$E$83,4)=0,"Total",VLOOKUP(A37,Journal!$B$7:$D$83,3)))</f>
        <v/>
      </c>
      <c r="C37" s="103" t="str">
        <f>IF(B37="","",VLOOKUP(A37,Journal!$B$7:$E$83,4))</f>
        <v/>
      </c>
      <c r="D37" s="137" t="str">
        <f>IF(B37="","",VLOOKUP(A37,Journal!$B$7:$J$83,9))</f>
        <v/>
      </c>
      <c r="E37" s="139"/>
      <c r="F37" s="139"/>
      <c r="G37" s="138"/>
      <c r="H37" s="106" t="str">
        <f>IF(B37="","",VLOOKUP(A37,Journal!$B$7:$L$83,11))</f>
        <v/>
      </c>
      <c r="I37" s="101" t="str">
        <f>IF(B37="","",VLOOKUP(A37,Journal!$B$7:$M$83,12))</f>
        <v/>
      </c>
      <c r="J37" s="127">
        <f>IF(B37="Total",SUM(J$8:J36)+0.0001,IF(OR(B37="",I$2=I37),0,VLOOKUP(A37,Journal!$B$7:M$83,8)))</f>
        <v>0</v>
      </c>
      <c r="K37" s="127">
        <f>IF(B37="Total",SUM(K$8:K36)+0.0001,IF(OR(B37="",J37&lt;&gt;0),0,VLOOKUP(A37,Journal!$B$7:M$83,8)))</f>
        <v>0</v>
      </c>
      <c r="L37" s="104">
        <f t="shared" si="6"/>
        <v>0</v>
      </c>
      <c r="M37" s="128"/>
      <c r="P37">
        <f t="shared" si="2"/>
        <v>1.0000000000000001E-5</v>
      </c>
      <c r="R37" s="13">
        <f t="shared" si="3"/>
        <v>30</v>
      </c>
      <c r="S37" s="152">
        <f>IF(VLOOKUP(A37,Journal!$A$7:$E$80,5)=0,S36+1,VLOOKUP(A37,Journal!$A$7:$E$80,5))</f>
        <v>45687</v>
      </c>
      <c r="T37" s="151">
        <f>IF(H$2=VLOOKUP(A37,Journal!$A$7:$F$80,6),VLOOKUP(A37,Journal!$A$7:M$80,9),0)</f>
        <v>0</v>
      </c>
      <c r="U37" s="151">
        <f>IF(H$2=VLOOKUP(A37,Journal!$A$7:$G$80,7),VLOOKUP(A37,Journal!$A$7:M$80,9),0)</f>
        <v>0</v>
      </c>
      <c r="V37" s="151">
        <f t="shared" si="4"/>
        <v>40</v>
      </c>
      <c r="X37">
        <f t="shared" si="0"/>
        <v>0</v>
      </c>
      <c r="Y37" s="171">
        <f t="shared" si="1"/>
        <v>-999.28947368421166</v>
      </c>
    </row>
    <row r="38" spans="1:25">
      <c r="A38">
        <f t="shared" si="5"/>
        <v>31</v>
      </c>
      <c r="B38" s="105" t="str">
        <f>IF(OR(B37="Total",B37=""),"",IF(VLOOKUP(A38,Journal!$B$7:$E$83,4)=0,"Total",VLOOKUP(A38,Journal!$B$7:$D$83,3)))</f>
        <v/>
      </c>
      <c r="C38" s="103" t="str">
        <f>IF(B38="","",VLOOKUP(A38,Journal!$B$7:$E$83,4))</f>
        <v/>
      </c>
      <c r="D38" s="137" t="str">
        <f>IF(B38="","",VLOOKUP(A38,Journal!$B$7:$J$83,9))</f>
        <v/>
      </c>
      <c r="E38" s="139"/>
      <c r="F38" s="139"/>
      <c r="G38" s="138"/>
      <c r="H38" s="106" t="str">
        <f>IF(B38="","",VLOOKUP(A38,Journal!$B$7:$L$83,11))</f>
        <v/>
      </c>
      <c r="I38" s="101" t="str">
        <f>IF(B38="","",VLOOKUP(A38,Journal!$B$7:$M$83,12))</f>
        <v/>
      </c>
      <c r="J38" s="127">
        <f>IF(B38="Total",SUM(J$8:J37)+0.0001,IF(OR(B38="",I$2=I38),0,VLOOKUP(A38,Journal!$B$7:M$83,8)))</f>
        <v>0</v>
      </c>
      <c r="K38" s="127">
        <f>IF(B38="Total",SUM(K$8:K37)+0.0001,IF(OR(B38="",J38&lt;&gt;0),0,VLOOKUP(A38,Journal!$B$7:M$83,8)))</f>
        <v>0</v>
      </c>
      <c r="L38" s="104">
        <f t="shared" si="6"/>
        <v>0</v>
      </c>
      <c r="M38" s="128"/>
      <c r="P38">
        <f>IF(L37=L38,L37+0.00001,L38)</f>
        <v>1.0000000000000001E-5</v>
      </c>
      <c r="R38" s="13">
        <f t="shared" si="3"/>
        <v>31</v>
      </c>
      <c r="S38" s="152">
        <f>IF(VLOOKUP(A38,Journal!$A$7:$E$80,5)=0,S37+1,VLOOKUP(A38,Journal!$A$7:$E$80,5))</f>
        <v>45688</v>
      </c>
      <c r="T38" s="151">
        <f>IF(H$2=VLOOKUP(A38,Journal!$A$7:$F$80,6),VLOOKUP(A38,Journal!$A$7:M$80,9),0)</f>
        <v>0</v>
      </c>
      <c r="U38" s="151">
        <f>IF(H$2=VLOOKUP(A38,Journal!$A$7:$G$80,7),VLOOKUP(A38,Journal!$A$7:M$80,9),0)</f>
        <v>0</v>
      </c>
      <c r="V38" s="151">
        <f t="shared" si="4"/>
        <v>40</v>
      </c>
      <c r="X38">
        <f t="shared" si="0"/>
        <v>0</v>
      </c>
      <c r="Y38" s="171">
        <f t="shared" si="1"/>
        <v>-999.26315789473801</v>
      </c>
    </row>
    <row r="39" spans="1:25">
      <c r="A39">
        <f t="shared" si="5"/>
        <v>32</v>
      </c>
      <c r="B39" s="105" t="str">
        <f>IF(OR(B38="Total",B38=""),"",IF(VLOOKUP(A39,Journal!$B$7:$E$83,4)=0,"Total",VLOOKUP(A39,Journal!$B$7:$D$83,3)))</f>
        <v/>
      </c>
      <c r="C39" s="103" t="str">
        <f>IF(B39="","",VLOOKUP(A39,Journal!$B$7:$E$83,4))</f>
        <v/>
      </c>
      <c r="D39" s="137" t="str">
        <f>IF(B39="","",VLOOKUP(A39,Journal!$B$7:$J$83,9))</f>
        <v/>
      </c>
      <c r="E39" s="139"/>
      <c r="F39" s="139"/>
      <c r="G39" s="138"/>
      <c r="H39" s="106" t="str">
        <f>IF(B39="","",VLOOKUP(A39,Journal!$B$7:$L$83,11))</f>
        <v/>
      </c>
      <c r="I39" s="101" t="str">
        <f>IF(B39="","",VLOOKUP(A39,Journal!$B$7:$M$83,12))</f>
        <v/>
      </c>
      <c r="J39" s="127">
        <f>IF(B39="Total",SUM(J$8:J38)+0.0001,IF(OR(B39="",I$2=I39),0,VLOOKUP(A39,Journal!$B$7:M$83,8)))</f>
        <v>0</v>
      </c>
      <c r="K39" s="127">
        <f>IF(B39="Total",SUM(K$8:K38)+0.0001,IF(OR(B39="",J39&lt;&gt;0),0,VLOOKUP(A39,Journal!$B$7:M$83,8)))</f>
        <v>0</v>
      </c>
      <c r="L39" s="104">
        <f t="shared" si="6"/>
        <v>0</v>
      </c>
      <c r="M39" s="128"/>
      <c r="P39">
        <f t="shared" si="2"/>
        <v>1.0000000000000001E-5</v>
      </c>
      <c r="R39" s="13">
        <f t="shared" si="3"/>
        <v>32</v>
      </c>
      <c r="S39" s="152">
        <f>IF(VLOOKUP(A39,Journal!$A$7:$E$80,5)=0,S38+1,VLOOKUP(A39,Journal!$A$7:$E$80,5))</f>
        <v>45689</v>
      </c>
      <c r="T39" s="151">
        <f>IF(H$2=VLOOKUP(A39,Journal!$A$7:$F$80,6),VLOOKUP(A39,Journal!$A$7:M$80,9),0)</f>
        <v>0</v>
      </c>
      <c r="U39" s="151">
        <f>IF(H$2=VLOOKUP(A39,Journal!$A$7:$G$80,7),VLOOKUP(A39,Journal!$A$7:M$80,9),0)</f>
        <v>0</v>
      </c>
      <c r="V39" s="151">
        <f t="shared" si="4"/>
        <v>40</v>
      </c>
      <c r="X39">
        <f t="shared" si="0"/>
        <v>0</v>
      </c>
      <c r="Y39" s="171">
        <f t="shared" si="1"/>
        <v>-999.23684210526437</v>
      </c>
    </row>
    <row r="40" spans="1:25">
      <c r="A40">
        <f t="shared" si="5"/>
        <v>33</v>
      </c>
      <c r="B40" s="105" t="str">
        <f>IF(OR(B39="Total",B39=""),"",IF(VLOOKUP(A40,Journal!$B$7:$E$83,4)=0,"Total",VLOOKUP(A40,Journal!$B$7:$D$83,3)))</f>
        <v/>
      </c>
      <c r="C40" s="103" t="str">
        <f>IF(B40="","",VLOOKUP(A40,Journal!$B$7:$E$83,4))</f>
        <v/>
      </c>
      <c r="D40" s="137" t="str">
        <f>IF(B40="","",VLOOKUP(A40,Journal!$B$7:$J$83,9))</f>
        <v/>
      </c>
      <c r="E40" s="139"/>
      <c r="F40" s="139"/>
      <c r="G40" s="138"/>
      <c r="H40" s="106" t="str">
        <f>IF(B40="","",VLOOKUP(A40,Journal!$B$7:$L$83,11))</f>
        <v/>
      </c>
      <c r="I40" s="101" t="str">
        <f>IF(B40="","",VLOOKUP(A40,Journal!$B$7:$M$83,12))</f>
        <v/>
      </c>
      <c r="J40" s="127">
        <f>IF(B40="Total",SUM(J$8:J39)+0.0001,IF(OR(B40="",I$2=I40),0,VLOOKUP(A40,Journal!$B$7:M$83,8)))</f>
        <v>0</v>
      </c>
      <c r="K40" s="127">
        <f>IF(B40="Total",SUM(K$8:K39)+0.0001,IF(OR(B40="",J40&lt;&gt;0),0,VLOOKUP(A40,Journal!$B$7:M$83,8)))</f>
        <v>0</v>
      </c>
      <c r="L40" s="104">
        <f t="shared" si="6"/>
        <v>0</v>
      </c>
      <c r="M40" s="128"/>
      <c r="P40">
        <f t="shared" si="2"/>
        <v>1.0000000000000001E-5</v>
      </c>
      <c r="R40" s="13">
        <f t="shared" si="3"/>
        <v>33</v>
      </c>
      <c r="S40" s="152">
        <f>IF(VLOOKUP(A40,Journal!$A$7:$E$80,5)=0,S39+1,VLOOKUP(A40,Journal!$A$7:$E$80,5))</f>
        <v>45690</v>
      </c>
      <c r="T40" s="151">
        <f>IF(H$2=VLOOKUP(A40,Journal!$A$7:$F$80,6),VLOOKUP(A40,Journal!$A$7:M$80,9),0)</f>
        <v>0</v>
      </c>
      <c r="U40" s="151">
        <f>IF(H$2=VLOOKUP(A40,Journal!$A$7:$G$80,7),VLOOKUP(A40,Journal!$A$7:M$80,9),0)</f>
        <v>0</v>
      </c>
      <c r="V40" s="151">
        <f t="shared" si="4"/>
        <v>40</v>
      </c>
      <c r="X40">
        <f t="shared" si="0"/>
        <v>0</v>
      </c>
      <c r="Y40" s="171">
        <f>IF(Y39&gt;-1,2,IF(B39="Total",-1000,Y39+Y$4))</f>
        <v>-999.21052631579073</v>
      </c>
    </row>
    <row r="41" spans="1:25">
      <c r="A41">
        <f t="shared" si="5"/>
        <v>34</v>
      </c>
      <c r="B41" s="105" t="str">
        <f>IF(OR(B40="Total",B40=""),"",IF(VLOOKUP(A41,Journal!$B$7:$E$83,4)=0,"Total",VLOOKUP(A41,Journal!$B$7:$D$83,3)))</f>
        <v/>
      </c>
      <c r="C41" s="103" t="str">
        <f>IF(B41="","",VLOOKUP(A41,Journal!$B$7:$E$83,4))</f>
        <v/>
      </c>
      <c r="D41" s="137" t="str">
        <f>IF(B41="","",VLOOKUP(A41,Journal!$B$7:$J$83,9))</f>
        <v/>
      </c>
      <c r="E41" s="139"/>
      <c r="F41" s="139"/>
      <c r="G41" s="138"/>
      <c r="H41" s="106" t="str">
        <f>IF(B41="","",VLOOKUP(A41,Journal!$B$7:$L$83,11))</f>
        <v/>
      </c>
      <c r="I41" s="101" t="str">
        <f>IF(B41="","",VLOOKUP(A41,Journal!$B$7:$M$83,12))</f>
        <v/>
      </c>
      <c r="J41" s="127">
        <f>IF(B41="Total",SUM(J$8:J40)+0.0001,IF(OR(B41="",I$2=I41),0,VLOOKUP(A41,Journal!$B$7:M$83,8)))</f>
        <v>0</v>
      </c>
      <c r="K41" s="127">
        <f>IF(B41="Total",SUM(K$8:K40)+0.0001,IF(OR(B41="",J41&lt;&gt;0),0,VLOOKUP(A41,Journal!$B$7:M$83,8)))</f>
        <v>0</v>
      </c>
      <c r="L41" s="104">
        <f>IF(B41="Total",L40,IF(B41="",0,IF($M$1=1,L40+J41-K41,L40-J41+K41)))</f>
        <v>0</v>
      </c>
      <c r="M41" s="128"/>
      <c r="P41">
        <f t="shared" si="2"/>
        <v>1.0000000000000001E-5</v>
      </c>
      <c r="R41" s="13">
        <f t="shared" si="3"/>
        <v>34</v>
      </c>
      <c r="S41" s="152">
        <f>IF(VLOOKUP(A41,Journal!$A$7:$E$80,5)=0,S40+1,VLOOKUP(A41,Journal!$A$7:$E$80,5))</f>
        <v>45691</v>
      </c>
      <c r="T41" s="151">
        <f>IF(H$2=VLOOKUP(A41,Journal!$A$7:$F$80,6),VLOOKUP(A41,Journal!$A$7:M$80,9),0)</f>
        <v>0</v>
      </c>
      <c r="U41" s="151">
        <f>IF(H$2=VLOOKUP(A41,Journal!$A$7:$G$80,7),VLOOKUP(A41,Journal!$A$7:M$80,9),0)</f>
        <v>0</v>
      </c>
      <c r="V41" s="151">
        <f t="shared" si="4"/>
        <v>40</v>
      </c>
      <c r="X41">
        <f t="shared" si="0"/>
        <v>0</v>
      </c>
      <c r="Y41" s="171">
        <f t="shared" si="1"/>
        <v>-999.18421052631709</v>
      </c>
    </row>
    <row r="42" spans="1:25">
      <c r="A42">
        <f t="shared" si="5"/>
        <v>35</v>
      </c>
      <c r="B42" s="105" t="str">
        <f>IF(OR(B41="Total",B41=""),"",IF(VLOOKUP(A42,Journal!$B$7:$E$83,4)=0,"Total",VLOOKUP(A42,Journal!$B$7:$D$83,3)))</f>
        <v/>
      </c>
      <c r="C42" s="103" t="str">
        <f>IF(B42="","",VLOOKUP(A42,Journal!$B$7:$E$83,4))</f>
        <v/>
      </c>
      <c r="D42" s="137" t="str">
        <f>IF(B42="","",VLOOKUP(A42,Journal!$B$7:$J$83,9))</f>
        <v/>
      </c>
      <c r="E42" s="139"/>
      <c r="F42" s="139"/>
      <c r="G42" s="138"/>
      <c r="H42" s="106" t="str">
        <f>IF(B42="","",VLOOKUP(A42,Journal!$B$7:$L$83,11))</f>
        <v/>
      </c>
      <c r="I42" s="101" t="str">
        <f>IF(B42="","",VLOOKUP(A42,Journal!$B$7:$M$83,12))</f>
        <v/>
      </c>
      <c r="J42" s="127">
        <f>IF(B42="Total",SUM(J$8:J41)+0.0001,IF(OR(B42="",I$2=I42),0,VLOOKUP(A42,Journal!$B$7:M$83,8)))</f>
        <v>0</v>
      </c>
      <c r="K42" s="127">
        <f>IF(B42="Total",SUM(K$8:K41)+0.0001,IF(OR(B42="",J42&lt;&gt;0),0,VLOOKUP(A42,Journal!$B$7:M$83,8)))</f>
        <v>0</v>
      </c>
      <c r="L42" s="104">
        <f t="shared" si="6"/>
        <v>0</v>
      </c>
      <c r="M42" s="128"/>
      <c r="P42">
        <f t="shared" si="2"/>
        <v>1.0000000000000001E-5</v>
      </c>
      <c r="R42" s="13">
        <f t="shared" si="3"/>
        <v>35</v>
      </c>
      <c r="S42" s="152">
        <f>IF(VLOOKUP(A42,Journal!$A$7:$E$80,5)=0,S41+1,VLOOKUP(A42,Journal!$A$7:$E$80,5))</f>
        <v>45692</v>
      </c>
      <c r="T42" s="151">
        <f>IF(H$2=VLOOKUP(A42,Journal!$A$7:$F$80,6),VLOOKUP(A42,Journal!$A$7:M$80,9),0)</f>
        <v>0</v>
      </c>
      <c r="U42" s="151">
        <f>IF(H$2=VLOOKUP(A42,Journal!$A$7:$G$80,7),VLOOKUP(A42,Journal!$A$7:M$80,9),0)</f>
        <v>0</v>
      </c>
      <c r="V42" s="151">
        <f t="shared" si="4"/>
        <v>40</v>
      </c>
      <c r="X42">
        <f t="shared" si="0"/>
        <v>0</v>
      </c>
      <c r="Y42" s="171">
        <f t="shared" si="1"/>
        <v>-999.15789473684345</v>
      </c>
    </row>
    <row r="43" spans="1:25">
      <c r="A43">
        <f t="shared" si="5"/>
        <v>36</v>
      </c>
      <c r="B43" s="105" t="str">
        <f>IF(OR(B42="Total",B42=""),"",IF(VLOOKUP(A43,Journal!$B$7:$E$83,4)=0,"Total",VLOOKUP(A43,Journal!$B$7:$D$83,3)))</f>
        <v/>
      </c>
      <c r="C43" s="103" t="str">
        <f>IF(B43="","",VLOOKUP(A43,Journal!$B$7:$E$83,4))</f>
        <v/>
      </c>
      <c r="D43" s="137" t="str">
        <f>IF(B43="","",VLOOKUP(A43,Journal!$B$7:$J$83,9))</f>
        <v/>
      </c>
      <c r="E43" s="139"/>
      <c r="F43" s="139"/>
      <c r="G43" s="138"/>
      <c r="H43" s="106" t="str">
        <f>IF(B43="","",VLOOKUP(A43,Journal!$B$7:$L$83,11))</f>
        <v/>
      </c>
      <c r="I43" s="101" t="str">
        <f>IF(B43="","",VLOOKUP(A43,Journal!$B$7:$M$83,12))</f>
        <v/>
      </c>
      <c r="J43" s="127">
        <f>IF(B43="Total",SUM(J$8:J42)+0.0001,IF(OR(B43="",I$2=I43),0,VLOOKUP(A43,Journal!$B$7:M$83,8)))</f>
        <v>0</v>
      </c>
      <c r="K43" s="127">
        <f>IF(B43="Total",SUM(K$8:K42)+0.0001,IF(OR(B43="",J43&lt;&gt;0),0,VLOOKUP(A43,Journal!$B$7:M$83,8)))</f>
        <v>0</v>
      </c>
      <c r="L43" s="104">
        <f t="shared" si="6"/>
        <v>0</v>
      </c>
      <c r="M43" s="128"/>
      <c r="P43">
        <f t="shared" si="2"/>
        <v>1.0000000000000001E-5</v>
      </c>
      <c r="R43" s="13">
        <f t="shared" si="3"/>
        <v>36</v>
      </c>
      <c r="S43" s="152">
        <f>IF(VLOOKUP(A43,Journal!$A$7:$E$80,5)=0,S42+1,VLOOKUP(A43,Journal!$A$7:$E$80,5))</f>
        <v>45693</v>
      </c>
      <c r="T43" s="151">
        <f>IF(H$2=VLOOKUP(A43,Journal!$A$7:$F$80,6),VLOOKUP(A43,Journal!$A$7:M$80,9),0)</f>
        <v>0</v>
      </c>
      <c r="U43" s="151">
        <f>IF(H$2=VLOOKUP(A43,Journal!$A$7:$G$80,7),VLOOKUP(A43,Journal!$A$7:M$80,9),0)</f>
        <v>0</v>
      </c>
      <c r="V43" s="151">
        <f t="shared" si="4"/>
        <v>40</v>
      </c>
      <c r="X43">
        <f t="shared" si="0"/>
        <v>0</v>
      </c>
      <c r="Y43" s="171">
        <f t="shared" si="1"/>
        <v>-999.1315789473698</v>
      </c>
    </row>
    <row r="44" spans="1:25">
      <c r="A44">
        <f t="shared" si="5"/>
        <v>37</v>
      </c>
      <c r="B44" s="105" t="str">
        <f>IF(OR(B43="Total",B43=""),"",IF(VLOOKUP(A44,Journal!$B$7:$E$83,4)=0,"Total",VLOOKUP(A44,Journal!$B$7:$D$83,3)))</f>
        <v/>
      </c>
      <c r="C44" s="103" t="str">
        <f>IF(B44="","",VLOOKUP(A44,Journal!$B$7:$E$83,4))</f>
        <v/>
      </c>
      <c r="D44" s="137" t="str">
        <f>IF(B44="","",VLOOKUP(A44,Journal!$B$7:$J$83,9))</f>
        <v/>
      </c>
      <c r="E44" s="139"/>
      <c r="F44" s="139"/>
      <c r="G44" s="138"/>
      <c r="H44" s="106" t="str">
        <f>IF(B44="","",VLOOKUP(A44,Journal!$B$7:$L$83,11))</f>
        <v/>
      </c>
      <c r="I44" s="101" t="str">
        <f>IF(B44="","",VLOOKUP(A44,Journal!$B$7:$M$83,12))</f>
        <v/>
      </c>
      <c r="J44" s="127">
        <f>IF(B44="Total",SUM(J$8:J43)+0.0001,IF(OR(B44="",I$2=I44),0,VLOOKUP(A44,Journal!$B$7:M$83,8)))</f>
        <v>0</v>
      </c>
      <c r="K44" s="127">
        <f>IF(B44="Total",SUM(K$8:K43)+0.0001,IF(OR(B44="",J44&lt;&gt;0),0,VLOOKUP(A44,Journal!$B$7:M$83,8)))</f>
        <v>0</v>
      </c>
      <c r="L44" s="104">
        <f t="shared" si="6"/>
        <v>0</v>
      </c>
      <c r="M44" s="128"/>
      <c r="P44">
        <f t="shared" si="2"/>
        <v>1.0000000000000001E-5</v>
      </c>
      <c r="R44" s="13">
        <f t="shared" si="3"/>
        <v>37</v>
      </c>
      <c r="S44" s="152">
        <f>IF(VLOOKUP(A44,Journal!$A$7:$E$80,5)=0,S43+1,VLOOKUP(A44,Journal!$A$7:$E$80,5))</f>
        <v>45694</v>
      </c>
      <c r="T44" s="151">
        <f>IF(H$2=VLOOKUP(A44,Journal!$A$7:$F$80,6),VLOOKUP(A44,Journal!$A$7:M$80,9),0)</f>
        <v>0</v>
      </c>
      <c r="U44" s="151">
        <f>IF(H$2=VLOOKUP(A44,Journal!$A$7:$G$80,7),VLOOKUP(A44,Journal!$A$7:M$80,9),0)</f>
        <v>0</v>
      </c>
      <c r="V44" s="151">
        <f t="shared" si="4"/>
        <v>40</v>
      </c>
      <c r="X44">
        <f t="shared" si="0"/>
        <v>0</v>
      </c>
      <c r="Y44" s="171">
        <f t="shared" si="1"/>
        <v>-999.10526315789616</v>
      </c>
    </row>
    <row r="45" spans="1:25">
      <c r="A45">
        <f t="shared" si="5"/>
        <v>38</v>
      </c>
      <c r="B45" s="105" t="str">
        <f>IF(OR(B44="Total",B44=""),"",IF(VLOOKUP(A45,Journal!$B$7:$E$83,4)=0,"Total",VLOOKUP(A45,Journal!$B$7:$D$83,3)))</f>
        <v/>
      </c>
      <c r="C45" s="103" t="str">
        <f>IF(B45="","",VLOOKUP(A45,Journal!$B$7:$E$83,4))</f>
        <v/>
      </c>
      <c r="D45" s="137" t="str">
        <f>IF(B45="","",VLOOKUP(A45,Journal!$B$7:$J$83,9))</f>
        <v/>
      </c>
      <c r="E45" s="139"/>
      <c r="F45" s="139"/>
      <c r="G45" s="138"/>
      <c r="H45" s="106" t="str">
        <f>IF(B45="","",VLOOKUP(A45,Journal!$B$7:$L$83,11))</f>
        <v/>
      </c>
      <c r="I45" s="101" t="str">
        <f>IF(B45="","",VLOOKUP(A45,Journal!$B$7:$M$83,12))</f>
        <v/>
      </c>
      <c r="J45" s="127">
        <f>IF(B45="Total",SUM(J$8:J44)+0.0001,IF(OR(B45="",I$2=I45),0,VLOOKUP(A45,Journal!$B$7:M$83,8)))</f>
        <v>0</v>
      </c>
      <c r="K45" s="127">
        <f>IF(B45="Total",SUM(K$8:K44)+0.0001,IF(OR(B45="",J45&lt;&gt;0),0,VLOOKUP(A45,Journal!$B$7:M$83,8)))</f>
        <v>0</v>
      </c>
      <c r="L45" s="104">
        <f t="shared" si="6"/>
        <v>0</v>
      </c>
      <c r="M45" s="128"/>
      <c r="P45">
        <f t="shared" si="2"/>
        <v>1.0000000000000001E-5</v>
      </c>
      <c r="R45" s="13">
        <f t="shared" si="3"/>
        <v>38</v>
      </c>
      <c r="S45" s="152">
        <f>IF(VLOOKUP(A45,Journal!$A$7:$E$80,5)=0,S44+1,VLOOKUP(A45,Journal!$A$7:$E$80,5))</f>
        <v>45695</v>
      </c>
      <c r="T45" s="151">
        <f>IF(H$2=VLOOKUP(A45,Journal!$A$7:$F$80,6),VLOOKUP(A45,Journal!$A$7:M$80,9),0)</f>
        <v>0</v>
      </c>
      <c r="U45" s="151">
        <f>IF(H$2=VLOOKUP(A45,Journal!$A$7:$G$80,7),VLOOKUP(A45,Journal!$A$7:M$80,9),0)</f>
        <v>0</v>
      </c>
      <c r="V45" s="151">
        <f t="shared" si="4"/>
        <v>40</v>
      </c>
      <c r="X45">
        <f t="shared" si="0"/>
        <v>0</v>
      </c>
      <c r="Y45" s="171">
        <f t="shared" si="1"/>
        <v>-999.07894736842252</v>
      </c>
    </row>
    <row r="46" spans="1:25">
      <c r="A46">
        <f t="shared" si="5"/>
        <v>39</v>
      </c>
      <c r="B46" s="105" t="str">
        <f>IF(OR(B45="Total",B45=""),"",IF(VLOOKUP(A46,Journal!$B$7:$E$83,4)=0,"Total",VLOOKUP(A46,Journal!$B$7:$D$83,3)))</f>
        <v/>
      </c>
      <c r="C46" s="103" t="str">
        <f>IF(B46="","",VLOOKUP(A46,Journal!$B$7:$E$83,4))</f>
        <v/>
      </c>
      <c r="D46" s="137" t="str">
        <f>IF(B46="","",VLOOKUP(A46,Journal!$B$7:$J$83,9))</f>
        <v/>
      </c>
      <c r="E46" s="139"/>
      <c r="F46" s="139"/>
      <c r="G46" s="138"/>
      <c r="H46" s="106" t="str">
        <f>IF(B46="","",VLOOKUP(A46,Journal!$B$7:$L$83,11))</f>
        <v/>
      </c>
      <c r="I46" s="101" t="str">
        <f>IF(B46="","",VLOOKUP(A46,Journal!$B$7:$M$83,12))</f>
        <v/>
      </c>
      <c r="J46" s="127">
        <f>IF(B46="Total",SUM(J$8:J45)+0.0001,IF(OR(B46="",I$2=I46),0,VLOOKUP(A46,Journal!$B$7:M$83,8)))</f>
        <v>0</v>
      </c>
      <c r="K46" s="127">
        <f>IF(B46="Total",SUM(K$8:K45)+0.0001,IF(OR(B46="",J46&lt;&gt;0),0,VLOOKUP(A46,Journal!$B$7:M$83,8)))</f>
        <v>0</v>
      </c>
      <c r="L46" s="104">
        <f t="shared" si="6"/>
        <v>0</v>
      </c>
      <c r="M46" s="128"/>
      <c r="P46">
        <f t="shared" si="2"/>
        <v>1.0000000000000001E-5</v>
      </c>
      <c r="R46" s="13">
        <f t="shared" si="3"/>
        <v>39</v>
      </c>
      <c r="S46" s="152">
        <f>IF(VLOOKUP(A46,Journal!$A$7:$E$80,5)=0,S45+1,VLOOKUP(A46,Journal!$A$7:$E$80,5))</f>
        <v>45696</v>
      </c>
      <c r="T46" s="151">
        <f>IF(H$2=VLOOKUP(A46,Journal!$A$7:$F$80,6),VLOOKUP(A46,Journal!$A$7:M$80,9),0)</f>
        <v>0</v>
      </c>
      <c r="U46" s="151">
        <f>IF(H$2=VLOOKUP(A46,Journal!$A$7:$G$80,7),VLOOKUP(A46,Journal!$A$7:M$80,9),0)</f>
        <v>0</v>
      </c>
      <c r="V46" s="151">
        <f t="shared" si="4"/>
        <v>40</v>
      </c>
      <c r="X46">
        <f t="shared" si="0"/>
        <v>0</v>
      </c>
      <c r="Y46" s="171">
        <f t="shared" si="1"/>
        <v>-999.05263157894888</v>
      </c>
    </row>
    <row r="47" spans="1:25">
      <c r="A47">
        <f t="shared" si="5"/>
        <v>40</v>
      </c>
      <c r="B47" s="105" t="str">
        <f>IF(OR(B46="Total",B46=""),"",IF(VLOOKUP(A47,Journal!$B$7:$E$83,4)=0,"Total",VLOOKUP(A47,Journal!$B$7:$D$83,3)))</f>
        <v/>
      </c>
      <c r="C47" s="103" t="str">
        <f>IF(B47="","",VLOOKUP(A47,Journal!$B$7:$E$83,4))</f>
        <v/>
      </c>
      <c r="D47" s="137" t="str">
        <f>IF(B47="","",VLOOKUP(A47,Journal!$B$7:$J$83,9))</f>
        <v/>
      </c>
      <c r="E47" s="139"/>
      <c r="F47" s="139"/>
      <c r="G47" s="138"/>
      <c r="H47" s="106" t="str">
        <f>IF(B47="","",VLOOKUP(A47,Journal!$B$7:$L$83,11))</f>
        <v/>
      </c>
      <c r="I47" s="101" t="str">
        <f>IF(B47="","",VLOOKUP(A47,Journal!$B$7:$M$83,12))</f>
        <v/>
      </c>
      <c r="J47" s="127">
        <f>IF(B47="Total",SUM(J$8:J46)+0.0001,IF(OR(B47="",I$2=I47),0,VLOOKUP(A47,Journal!$B$7:M$83,8)))</f>
        <v>0</v>
      </c>
      <c r="K47" s="127">
        <f>IF(B47="Total",SUM(K$8:K46)+0.0001,IF(OR(B47="",J47&lt;&gt;0),0,VLOOKUP(A47,Journal!$B$7:M$83,8)))</f>
        <v>0</v>
      </c>
      <c r="L47" s="104">
        <f t="shared" si="6"/>
        <v>0</v>
      </c>
      <c r="M47" s="128"/>
      <c r="P47">
        <f t="shared" si="2"/>
        <v>1.0000000000000001E-5</v>
      </c>
      <c r="R47" s="13">
        <f t="shared" si="3"/>
        <v>40</v>
      </c>
      <c r="S47" s="152">
        <f>IF(VLOOKUP(A47,Journal!$A$7:$E$80,5)=0,S46+1,VLOOKUP(A47,Journal!$A$7:$E$80,5))</f>
        <v>45697</v>
      </c>
      <c r="T47" s="151">
        <f>IF(H$2=VLOOKUP(A47,Journal!$A$7:$F$80,6),VLOOKUP(A47,Journal!$A$7:M$80,9),0)</f>
        <v>0</v>
      </c>
      <c r="U47" s="151">
        <f>IF(H$2=VLOOKUP(A47,Journal!$A$7:$G$80,7),VLOOKUP(A47,Journal!$A$7:M$80,9),0)</f>
        <v>0</v>
      </c>
      <c r="V47" s="151">
        <f t="shared" si="4"/>
        <v>40</v>
      </c>
      <c r="X47">
        <f t="shared" si="0"/>
        <v>0</v>
      </c>
      <c r="Y47" s="171">
        <f t="shared" si="1"/>
        <v>-999.02631578947523</v>
      </c>
    </row>
    <row r="48" spans="1:25">
      <c r="A48">
        <f t="shared" si="5"/>
        <v>41</v>
      </c>
      <c r="B48" s="105" t="str">
        <f>IF(OR(B47="Total",B47=""),"",IF(VLOOKUP(A48,Journal!$B$7:$E$83,4)=0,"Total",VLOOKUP(A48,Journal!$B$7:$D$83,3)))</f>
        <v/>
      </c>
      <c r="C48" s="103" t="str">
        <f>IF(B48="","",VLOOKUP(A48,Journal!$B$7:$E$83,4))</f>
        <v/>
      </c>
      <c r="D48" s="137" t="str">
        <f>IF(B48="","",VLOOKUP(A48,Journal!$B$7:$J$83,9))</f>
        <v/>
      </c>
      <c r="E48" s="139"/>
      <c r="F48" s="139"/>
      <c r="G48" s="138"/>
      <c r="H48" s="106" t="str">
        <f>IF(B48="","",VLOOKUP(A48,Journal!$B$7:$L$83,11))</f>
        <v/>
      </c>
      <c r="I48" s="101" t="str">
        <f>IF(B48="","",VLOOKUP(A48,Journal!$B$7:$M$83,12))</f>
        <v/>
      </c>
      <c r="J48" s="127">
        <f>IF(B48="Total",SUM(J$8:J47)+0.0001,IF(OR(B48="",I$2=I48),0,VLOOKUP(A48,Journal!$B$7:M$83,8)))</f>
        <v>0</v>
      </c>
      <c r="K48" s="127">
        <f>IF(B48="Total",SUM(K$8:K47)+0.0001,IF(OR(B48="",J48&lt;&gt;0),0,VLOOKUP(A48,Journal!$B$7:M$83,8)))</f>
        <v>0</v>
      </c>
      <c r="L48" s="104">
        <f t="shared" si="6"/>
        <v>0</v>
      </c>
      <c r="M48" s="128"/>
      <c r="P48">
        <f t="shared" si="2"/>
        <v>1.0000000000000001E-5</v>
      </c>
      <c r="R48" s="13">
        <f t="shared" si="3"/>
        <v>41</v>
      </c>
      <c r="S48" s="152">
        <f>IF(VLOOKUP(A48,Journal!$A$7:$E$80,5)=0,S47+1,VLOOKUP(A48,Journal!$A$7:$E$80,5))</f>
        <v>45698</v>
      </c>
      <c r="T48" s="151">
        <f>IF(H$2=VLOOKUP(A48,Journal!$A$7:$F$80,6),VLOOKUP(A48,Journal!$A$7:M$80,9),0)</f>
        <v>0</v>
      </c>
      <c r="U48" s="151">
        <f>IF(H$2=VLOOKUP(A48,Journal!$A$7:$G$80,7),VLOOKUP(A48,Journal!$A$7:M$80,9),0)</f>
        <v>0</v>
      </c>
      <c r="V48" s="151">
        <f t="shared" si="4"/>
        <v>40</v>
      </c>
      <c r="X48">
        <f t="shared" si="0"/>
        <v>0</v>
      </c>
      <c r="Y48" s="171">
        <f t="shared" si="1"/>
        <v>-999.00000000000159</v>
      </c>
    </row>
    <row r="49" spans="1:25">
      <c r="A49">
        <f t="shared" si="5"/>
        <v>42</v>
      </c>
      <c r="B49" s="105" t="str">
        <f>IF(OR(B48="Total",B48=""),"",IF(VLOOKUP(A49,Journal!$B$7:$E$83,4)=0,"Total",VLOOKUP(A49,Journal!$B$7:$D$83,3)))</f>
        <v/>
      </c>
      <c r="C49" s="103" t="str">
        <f>IF(B49="","",VLOOKUP(A49,Journal!$B$7:$E$83,4))</f>
        <v/>
      </c>
      <c r="D49" s="137" t="str">
        <f>IF(B49="","",VLOOKUP(A49,Journal!$B$7:$J$83,9))</f>
        <v/>
      </c>
      <c r="E49" s="139"/>
      <c r="F49" s="139"/>
      <c r="G49" s="138"/>
      <c r="H49" s="106" t="str">
        <f>IF(B49="","",VLOOKUP(A49,Journal!$B$7:$L$83,11))</f>
        <v/>
      </c>
      <c r="I49" s="101" t="str">
        <f>IF(B49="","",VLOOKUP(A49,Journal!$B$7:$M$83,12))</f>
        <v/>
      </c>
      <c r="J49" s="127">
        <f>IF(B49="Total",SUM(J$8:J48)+0.0001,IF(OR(B49="",I$2=I49),0,VLOOKUP(A49,Journal!$B$7:M$83,8)))</f>
        <v>0</v>
      </c>
      <c r="K49" s="127">
        <f>IF(B49="Total",SUM(K$8:K48)+0.0001,IF(OR(B49="",J49&lt;&gt;0),0,VLOOKUP(A49,Journal!$B$7:M$83,8)))</f>
        <v>0</v>
      </c>
      <c r="L49" s="104">
        <f t="shared" si="6"/>
        <v>0</v>
      </c>
      <c r="M49" s="128"/>
      <c r="P49">
        <f t="shared" si="2"/>
        <v>1.0000000000000001E-5</v>
      </c>
      <c r="R49" s="13">
        <f t="shared" si="3"/>
        <v>42</v>
      </c>
      <c r="S49" s="152">
        <f>IF(VLOOKUP(A49,Journal!$A$7:$E$80,5)=0,S48+1,VLOOKUP(A49,Journal!$A$7:$E$80,5))</f>
        <v>45699</v>
      </c>
      <c r="T49" s="151">
        <f>IF(H$2=VLOOKUP(A49,Journal!$A$7:$F$80,6),VLOOKUP(A49,Journal!$A$7:M$80,9),0)</f>
        <v>0</v>
      </c>
      <c r="U49" s="151">
        <f>IF(H$2=VLOOKUP(A49,Journal!$A$7:$G$80,7),VLOOKUP(A49,Journal!$A$7:M$80,9),0)</f>
        <v>0</v>
      </c>
      <c r="V49" s="151">
        <f t="shared" si="4"/>
        <v>40</v>
      </c>
      <c r="X49">
        <f t="shared" si="0"/>
        <v>0</v>
      </c>
      <c r="Y49" s="171">
        <f t="shared" si="1"/>
        <v>-998.97368421052795</v>
      </c>
    </row>
    <row r="50" spans="1:25">
      <c r="A50">
        <f t="shared" si="5"/>
        <v>43</v>
      </c>
      <c r="B50" s="105" t="str">
        <f>IF(OR(B49="Total",B49=""),"",IF(VLOOKUP(A50,Journal!$B$7:$E$83,4)=0,"Total",VLOOKUP(A50,Journal!$B$7:$D$83,3)))</f>
        <v/>
      </c>
      <c r="C50" s="103" t="str">
        <f>IF(B50="","",VLOOKUP(A50,Journal!$B$7:$E$83,4))</f>
        <v/>
      </c>
      <c r="D50" s="137" t="str">
        <f>IF(B50="","",VLOOKUP(A50,Journal!$B$7:$J$83,9))</f>
        <v/>
      </c>
      <c r="E50" s="139"/>
      <c r="F50" s="139"/>
      <c r="G50" s="138"/>
      <c r="H50" s="106" t="str">
        <f>IF(B50="","",VLOOKUP(A50,Journal!$B$7:$L$83,11))</f>
        <v/>
      </c>
      <c r="I50" s="101" t="str">
        <f>IF(B50="","",VLOOKUP(A50,Journal!$B$7:$M$83,12))</f>
        <v/>
      </c>
      <c r="J50" s="127">
        <f>IF(B50="Total",SUM(J$8:J49)+0.0001,IF(OR(B50="",I$2=I50),0,VLOOKUP(A50,Journal!$B$7:M$83,8)))</f>
        <v>0</v>
      </c>
      <c r="K50" s="127">
        <f>IF(B50="Total",SUM(K$8:K49)+0.0001,IF(OR(B50="",J50&lt;&gt;0),0,VLOOKUP(A50,Journal!$B$7:M$83,8)))</f>
        <v>0</v>
      </c>
      <c r="L50" s="104">
        <f t="shared" si="6"/>
        <v>0</v>
      </c>
      <c r="M50" s="128"/>
      <c r="P50">
        <f t="shared" si="2"/>
        <v>1.0000000000000001E-5</v>
      </c>
      <c r="R50" s="13">
        <f t="shared" si="3"/>
        <v>43</v>
      </c>
      <c r="S50" s="152">
        <f>IF(VLOOKUP(A50,Journal!$A$7:$E$80,5)=0,S49+1,VLOOKUP(A50,Journal!$A$7:$E$80,5))</f>
        <v>45700</v>
      </c>
      <c r="T50" s="151">
        <f>IF(H$2=VLOOKUP(A50,Journal!$A$7:$F$80,6),VLOOKUP(A50,Journal!$A$7:M$80,9),0)</f>
        <v>0</v>
      </c>
      <c r="U50" s="151">
        <f>IF(H$2=VLOOKUP(A50,Journal!$A$7:$G$80,7),VLOOKUP(A50,Journal!$A$7:M$80,9),0)</f>
        <v>0</v>
      </c>
      <c r="V50" s="151">
        <f t="shared" si="4"/>
        <v>40</v>
      </c>
      <c r="X50">
        <f t="shared" si="0"/>
        <v>0</v>
      </c>
      <c r="Y50" s="171">
        <f t="shared" si="1"/>
        <v>-998.94736842105431</v>
      </c>
    </row>
    <row r="51" spans="1:25">
      <c r="A51">
        <f t="shared" si="5"/>
        <v>44</v>
      </c>
      <c r="B51" s="105" t="str">
        <f>IF(OR(B50="Total",B50=""),"",IF(VLOOKUP(A51,Journal!$B$7:$E$83,4)=0,"Total",VLOOKUP(A51,Journal!$B$7:$D$83,3)))</f>
        <v/>
      </c>
      <c r="C51" s="103" t="str">
        <f>IF(B51="","",VLOOKUP(A51,Journal!$B$7:$E$83,4))</f>
        <v/>
      </c>
      <c r="D51" s="137" t="str">
        <f>IF(B51="","",VLOOKUP(A51,Journal!$B$7:$J$83,9))</f>
        <v/>
      </c>
      <c r="E51" s="139"/>
      <c r="F51" s="139"/>
      <c r="G51" s="138"/>
      <c r="H51" s="106" t="str">
        <f>IF(B51="","",VLOOKUP(A51,Journal!$B$7:$L$83,11))</f>
        <v/>
      </c>
      <c r="I51" s="101" t="str">
        <f>IF(B51="","",VLOOKUP(A51,Journal!$B$7:$M$83,12))</f>
        <v/>
      </c>
      <c r="J51" s="127">
        <f>IF(B51="Total",SUM(J$8:J50)+0.0001,IF(OR(B51="",I$2=I51),0,VLOOKUP(A51,Journal!$B$7:M$83,8)))</f>
        <v>0</v>
      </c>
      <c r="K51" s="127">
        <f>IF(B51="Total",SUM(K$8:K50)+0.0001,IF(OR(B51="",J51&lt;&gt;0),0,VLOOKUP(A51,Journal!$B$7:M$83,8)))</f>
        <v>0</v>
      </c>
      <c r="L51" s="104">
        <f t="shared" si="6"/>
        <v>0</v>
      </c>
      <c r="M51" s="128"/>
      <c r="P51">
        <f t="shared" si="2"/>
        <v>1.0000000000000001E-5</v>
      </c>
      <c r="R51" s="13">
        <f t="shared" si="3"/>
        <v>44</v>
      </c>
      <c r="S51" s="152">
        <f>IF(VLOOKUP(A51,Journal!$A$7:$E$80,5)=0,S50+1,VLOOKUP(A51,Journal!$A$7:$E$80,5))</f>
        <v>45701</v>
      </c>
      <c r="T51" s="151">
        <f>IF(H$2=VLOOKUP(A51,Journal!$A$7:$F$80,6),VLOOKUP(A51,Journal!$A$7:M$80,9),0)</f>
        <v>0</v>
      </c>
      <c r="U51" s="151">
        <f>IF(H$2=VLOOKUP(A51,Journal!$A$7:$G$80,7),VLOOKUP(A51,Journal!$A$7:M$80,9),0)</f>
        <v>0</v>
      </c>
      <c r="V51" s="151">
        <f t="shared" si="4"/>
        <v>40</v>
      </c>
      <c r="X51">
        <f t="shared" si="0"/>
        <v>0</v>
      </c>
      <c r="Y51" s="171">
        <f t="shared" si="1"/>
        <v>-998.92105263158066</v>
      </c>
    </row>
    <row r="52" spans="1:25">
      <c r="A52">
        <f t="shared" si="5"/>
        <v>45</v>
      </c>
      <c r="B52" s="105" t="str">
        <f>IF(OR(B51="Total",B51=""),"",IF(VLOOKUP(A52,Journal!$B$7:$E$83,4)=0,"Total",VLOOKUP(A52,Journal!$B$7:$D$83,3)))</f>
        <v/>
      </c>
      <c r="C52" s="103" t="str">
        <f>IF(B52="","",VLOOKUP(A52,Journal!$B$7:$E$83,4))</f>
        <v/>
      </c>
      <c r="D52" s="137" t="str">
        <f>IF(B52="","",VLOOKUP(A52,Journal!$B$7:$J$83,9))</f>
        <v/>
      </c>
      <c r="E52" s="139"/>
      <c r="F52" s="139"/>
      <c r="G52" s="138"/>
      <c r="H52" s="106" t="str">
        <f>IF(B52="","",VLOOKUP(A52,Journal!$B$7:$L$83,11))</f>
        <v/>
      </c>
      <c r="I52" s="101" t="str">
        <f>IF(B52="","",VLOOKUP(A52,Journal!$B$7:$M$83,12))</f>
        <v/>
      </c>
      <c r="J52" s="127">
        <f>IF(B52="Total",SUM(J$8:J51)+0.0001,IF(OR(B52="",I$2=I52),0,VLOOKUP(A52,Journal!$B$7:M$83,8)))</f>
        <v>0</v>
      </c>
      <c r="K52" s="127">
        <f>IF(B52="Total",SUM(K$8:K51)+0.0001,IF(OR(B52="",J52&lt;&gt;0),0,VLOOKUP(A52,Journal!$B$7:M$83,8)))</f>
        <v>0</v>
      </c>
      <c r="L52" s="104">
        <f t="shared" si="6"/>
        <v>0</v>
      </c>
      <c r="M52" s="128"/>
      <c r="P52">
        <f t="shared" si="2"/>
        <v>1.0000000000000001E-5</v>
      </c>
      <c r="R52" s="13">
        <f t="shared" si="3"/>
        <v>45</v>
      </c>
      <c r="S52" s="152">
        <f>IF(VLOOKUP(A52,Journal!$A$7:$E$80,5)=0,S51+1,VLOOKUP(A52,Journal!$A$7:$E$80,5))</f>
        <v>45702</v>
      </c>
      <c r="T52" s="151">
        <f>IF(H$2=VLOOKUP(A52,Journal!$A$7:$F$80,6),VLOOKUP(A52,Journal!$A$7:M$80,9),0)</f>
        <v>0</v>
      </c>
      <c r="U52" s="151">
        <f>IF(H$2=VLOOKUP(A52,Journal!$A$7:$G$80,7),VLOOKUP(A52,Journal!$A$7:M$80,9),0)</f>
        <v>0</v>
      </c>
      <c r="V52" s="151">
        <f t="shared" si="4"/>
        <v>40</v>
      </c>
      <c r="X52">
        <f t="shared" si="0"/>
        <v>0</v>
      </c>
      <c r="Y52" s="171">
        <f t="shared" si="1"/>
        <v>-998.89473684210702</v>
      </c>
    </row>
    <row r="53" spans="1:25">
      <c r="A53">
        <f t="shared" si="5"/>
        <v>46</v>
      </c>
      <c r="B53" s="105" t="str">
        <f>IF(OR(B52="Total",B52=""),"",IF(VLOOKUP(A53,Journal!$B$7:$E$83,4)=0,"Total",VLOOKUP(A53,Journal!$B$7:$D$83,3)))</f>
        <v/>
      </c>
      <c r="C53" s="103" t="str">
        <f>IF(B53="","",VLOOKUP(A53,Journal!$B$7:$E$83,4))</f>
        <v/>
      </c>
      <c r="D53" s="137" t="str">
        <f>IF(B53="","",VLOOKUP(A53,Journal!$B$7:$J$83,9))</f>
        <v/>
      </c>
      <c r="E53" s="139"/>
      <c r="F53" s="139"/>
      <c r="G53" s="138"/>
      <c r="H53" s="106" t="str">
        <f>IF(B53="","",VLOOKUP(A53,Journal!$B$7:$L$83,11))</f>
        <v/>
      </c>
      <c r="I53" s="101" t="str">
        <f>IF(B53="","",VLOOKUP(A53,Journal!$B$7:$M$83,12))</f>
        <v/>
      </c>
      <c r="J53" s="127">
        <f>IF(B53="Total",SUM(J$8:J52)+0.0001,IF(OR(B53="",I$2=I53),0,VLOOKUP(A53,Journal!$B$7:M$83,8)))</f>
        <v>0</v>
      </c>
      <c r="K53" s="127">
        <f>IF(B53="Total",SUM(K$8:K52)+0.0001,IF(OR(B53="",J53&lt;&gt;0),0,VLOOKUP(A53,Journal!$B$7:M$83,8)))</f>
        <v>0</v>
      </c>
      <c r="L53" s="104">
        <f t="shared" si="6"/>
        <v>0</v>
      </c>
      <c r="M53" s="128"/>
      <c r="P53">
        <f t="shared" si="2"/>
        <v>1.0000000000000001E-5</v>
      </c>
      <c r="R53" s="13">
        <f t="shared" si="3"/>
        <v>46</v>
      </c>
      <c r="S53" s="152">
        <f>IF(VLOOKUP(A53,Journal!$A$7:$E$80,5)=0,S52+1,VLOOKUP(A53,Journal!$A$7:$E$80,5))</f>
        <v>45703</v>
      </c>
      <c r="T53" s="151">
        <f>IF(H$2=VLOOKUP(A53,Journal!$A$7:$F$80,6),VLOOKUP(A53,Journal!$A$7:M$80,9),0)</f>
        <v>0</v>
      </c>
      <c r="U53" s="151">
        <f>IF(H$2=VLOOKUP(A53,Journal!$A$7:$G$80,7),VLOOKUP(A53,Journal!$A$7:M$80,9),0)</f>
        <v>0</v>
      </c>
      <c r="V53" s="151">
        <f t="shared" si="4"/>
        <v>40</v>
      </c>
      <c r="X53">
        <f t="shared" si="0"/>
        <v>0</v>
      </c>
      <c r="Y53" s="171">
        <f t="shared" si="1"/>
        <v>-998.86842105263338</v>
      </c>
    </row>
    <row r="54" spans="1:25">
      <c r="A54">
        <f t="shared" si="5"/>
        <v>47</v>
      </c>
      <c r="B54" s="105" t="str">
        <f>IF(OR(B53="Total",B53=""),"",IF(VLOOKUP(A54,Journal!$B$7:$E$83,4)=0,"Total",VLOOKUP(A54,Journal!$B$7:$D$83,3)))</f>
        <v/>
      </c>
      <c r="C54" s="103" t="str">
        <f>IF(B54="","",VLOOKUP(A54,Journal!$B$7:$E$83,4))</f>
        <v/>
      </c>
      <c r="D54" s="137" t="str">
        <f>IF(B54="","",VLOOKUP(A54,Journal!$B$7:$J$83,9))</f>
        <v/>
      </c>
      <c r="E54" s="139"/>
      <c r="F54" s="139"/>
      <c r="G54" s="138"/>
      <c r="H54" s="106" t="str">
        <f>IF(B54="","",VLOOKUP(A54,Journal!$B$7:$L$83,11))</f>
        <v/>
      </c>
      <c r="I54" s="101" t="str">
        <f>IF(B54="","",VLOOKUP(A54,Journal!$B$7:$M$83,12))</f>
        <v/>
      </c>
      <c r="J54" s="127">
        <f>IF(B54="Total",SUM(J$8:J53)+0.0001,IF(OR(B54="",I$2=I54),0,VLOOKUP(A54,Journal!$B$7:M$83,8)))</f>
        <v>0</v>
      </c>
      <c r="K54" s="127">
        <f>IF(B54="Total",SUM(K$8:K53)+0.0001,IF(OR(B54="",J54&lt;&gt;0),0,VLOOKUP(A54,Journal!$B$7:M$83,8)))</f>
        <v>0</v>
      </c>
      <c r="L54" s="104">
        <f t="shared" si="6"/>
        <v>0</v>
      </c>
      <c r="M54" s="128"/>
      <c r="P54">
        <f t="shared" si="2"/>
        <v>1.0000000000000001E-5</v>
      </c>
      <c r="R54" s="13">
        <f t="shared" si="3"/>
        <v>47</v>
      </c>
      <c r="S54" s="152">
        <f>IF(VLOOKUP(A54,Journal!$A$7:$E$80,5)=0,S53+1,VLOOKUP(A54,Journal!$A$7:$E$80,5))</f>
        <v>45704</v>
      </c>
      <c r="T54" s="151">
        <f>IF(H$2=VLOOKUP(A54,Journal!$A$7:$F$80,6),VLOOKUP(A54,Journal!$A$7:M$80,9),0)</f>
        <v>0</v>
      </c>
      <c r="U54" s="151">
        <f>IF(H$2=VLOOKUP(A54,Journal!$A$7:$G$80,7),VLOOKUP(A54,Journal!$A$7:M$80,9),0)</f>
        <v>0</v>
      </c>
      <c r="V54" s="151">
        <f t="shared" si="4"/>
        <v>40</v>
      </c>
      <c r="X54">
        <f t="shared" si="0"/>
        <v>0</v>
      </c>
      <c r="Y54" s="171">
        <f t="shared" si="1"/>
        <v>-998.84210526315974</v>
      </c>
    </row>
    <row r="55" spans="1:25">
      <c r="A55">
        <f t="shared" si="5"/>
        <v>48</v>
      </c>
      <c r="B55" s="105" t="str">
        <f>IF(OR(B54="Total",B54=""),"",IF(VLOOKUP(A55,Journal!$B$7:$E$83,4)=0,"Total",VLOOKUP(A55,Journal!$B$7:$D$83,3)))</f>
        <v/>
      </c>
      <c r="C55" s="103" t="str">
        <f>IF(B55="","",VLOOKUP(A55,Journal!$B$7:$E$83,4))</f>
        <v/>
      </c>
      <c r="D55" s="137" t="str">
        <f>IF(B55="","",VLOOKUP(A55,Journal!$B$7:$J$83,9))</f>
        <v/>
      </c>
      <c r="E55" s="139"/>
      <c r="F55" s="139"/>
      <c r="G55" s="138"/>
      <c r="H55" s="106" t="str">
        <f>IF(B55="","",VLOOKUP(A55,Journal!$B$7:$L$83,11))</f>
        <v/>
      </c>
      <c r="I55" s="101" t="str">
        <f>IF(B55="","",VLOOKUP(A55,Journal!$B$7:$M$83,12))</f>
        <v/>
      </c>
      <c r="J55" s="127">
        <f>IF(B55="Total",SUM(J$8:J54)+0.0001,IF(OR(B55="",I$2=I55),0,VLOOKUP(A55,Journal!$B$7:M$83,8)))</f>
        <v>0</v>
      </c>
      <c r="K55" s="127">
        <f>IF(B55="Total",SUM(K$8:K54)+0.0001,IF(OR(B55="",J55&lt;&gt;0),0,VLOOKUP(A55,Journal!$B$7:M$83,8)))</f>
        <v>0</v>
      </c>
      <c r="L55" s="104">
        <f t="shared" si="6"/>
        <v>0</v>
      </c>
      <c r="M55" s="128"/>
      <c r="P55">
        <f t="shared" si="2"/>
        <v>1.0000000000000001E-5</v>
      </c>
      <c r="R55" s="13">
        <f t="shared" si="3"/>
        <v>48</v>
      </c>
      <c r="S55" s="152">
        <f>IF(VLOOKUP(A55,Journal!$A$7:$E$80,5)=0,S54+1,VLOOKUP(A55,Journal!$A$7:$E$80,5))</f>
        <v>45705</v>
      </c>
      <c r="T55" s="151">
        <f>IF(H$2=VLOOKUP(A55,Journal!$A$7:$F$80,6),VLOOKUP(A55,Journal!$A$7:M$80,9),0)</f>
        <v>0</v>
      </c>
      <c r="U55" s="151">
        <f>IF(H$2=VLOOKUP(A55,Journal!$A$7:$G$80,7),VLOOKUP(A55,Journal!$A$7:M$80,9),0)</f>
        <v>0</v>
      </c>
      <c r="V55" s="151">
        <f t="shared" si="4"/>
        <v>40</v>
      </c>
      <c r="X55">
        <f t="shared" si="0"/>
        <v>0</v>
      </c>
      <c r="Y55" s="171">
        <f t="shared" si="1"/>
        <v>-998.8157894736861</v>
      </c>
    </row>
    <row r="56" spans="1:25">
      <c r="A56">
        <f t="shared" si="5"/>
        <v>49</v>
      </c>
      <c r="B56" s="105" t="str">
        <f>IF(OR(B55="Total",B55=""),"",IF(VLOOKUP(A56,Journal!$B$7:$E$83,4)=0,"Total",VLOOKUP(A56,Journal!$B$7:$D$83,3)))</f>
        <v/>
      </c>
      <c r="C56" s="103" t="str">
        <f>IF(B56="","",VLOOKUP(A56,Journal!$B$7:$E$83,4))</f>
        <v/>
      </c>
      <c r="D56" s="137" t="str">
        <f>IF(B56="","",VLOOKUP(A56,Journal!$B$7:$J$83,9))</f>
        <v/>
      </c>
      <c r="E56" s="139"/>
      <c r="F56" s="139"/>
      <c r="G56" s="138"/>
      <c r="H56" s="106" t="str">
        <f>IF(B56="","",VLOOKUP(A56,Journal!$B$7:$L$83,11))</f>
        <v/>
      </c>
      <c r="I56" s="101" t="str">
        <f>IF(B56="","",VLOOKUP(A56,Journal!$B$7:$M$83,12))</f>
        <v/>
      </c>
      <c r="J56" s="127">
        <f>IF(B56="Total",SUM(J$8:J55)+0.0001,IF(OR(B56="",I$2=I56),0,VLOOKUP(A56,Journal!$B$7:M$83,8)))</f>
        <v>0</v>
      </c>
      <c r="K56" s="127">
        <f>IF(B56="Total",SUM(K$8:K55)+0.0001,IF(OR(B56="",J56&lt;&gt;0),0,VLOOKUP(A56,Journal!$B$7:M$83,8)))</f>
        <v>0</v>
      </c>
      <c r="L56" s="104">
        <f t="shared" si="6"/>
        <v>0</v>
      </c>
      <c r="M56" s="128"/>
      <c r="P56">
        <f t="shared" si="2"/>
        <v>1.0000000000000001E-5</v>
      </c>
      <c r="R56" s="13">
        <f t="shared" si="3"/>
        <v>49</v>
      </c>
      <c r="S56" s="152">
        <f>IF(VLOOKUP(A56,Journal!$A$7:$E$80,5)=0,S55+1,VLOOKUP(A56,Journal!$A$7:$E$80,5))</f>
        <v>45706</v>
      </c>
      <c r="T56" s="151">
        <f>IF(H$2=VLOOKUP(A56,Journal!$A$7:$F$80,6),VLOOKUP(A56,Journal!$A$7:M$80,9),0)</f>
        <v>0</v>
      </c>
      <c r="U56" s="151">
        <f>IF(H$2=VLOOKUP(A56,Journal!$A$7:$G$80,7),VLOOKUP(A56,Journal!$A$7:M$80,9),0)</f>
        <v>0</v>
      </c>
      <c r="V56" s="151">
        <f t="shared" si="4"/>
        <v>40</v>
      </c>
      <c r="X56">
        <f t="shared" si="0"/>
        <v>0</v>
      </c>
      <c r="Y56" s="171">
        <f t="shared" si="1"/>
        <v>-998.78947368421245</v>
      </c>
    </row>
    <row r="57" spans="1:25">
      <c r="A57">
        <f t="shared" si="5"/>
        <v>50</v>
      </c>
      <c r="B57" s="105" t="str">
        <f>IF(OR(B56="Total",B56=""),"",IF(VLOOKUP(A57,Journal!$B$7:$E$83,4)=0,"Total",VLOOKUP(A57,Journal!$B$7:$D$83,3)))</f>
        <v/>
      </c>
      <c r="C57" s="103" t="str">
        <f>IF(B57="","",VLOOKUP(A57,Journal!$B$7:$E$83,4))</f>
        <v/>
      </c>
      <c r="D57" s="137" t="str">
        <f>IF(B57="","",VLOOKUP(A57,Journal!$B$7:$J$83,9))</f>
        <v/>
      </c>
      <c r="E57" s="139"/>
      <c r="F57" s="139"/>
      <c r="G57" s="138"/>
      <c r="H57" s="106" t="str">
        <f>IF(B57="","",VLOOKUP(A57,Journal!$B$7:$L$83,11))</f>
        <v/>
      </c>
      <c r="I57" s="101" t="str">
        <f>IF(B57="","",VLOOKUP(A57,Journal!$B$7:$M$83,12))</f>
        <v/>
      </c>
      <c r="J57" s="127">
        <f>IF(B57="Total",SUM(J$8:J56)+0.0001,IF(OR(B57="",I$2=I57),0,VLOOKUP(A57,Journal!$B$7:M$83,8)))</f>
        <v>0</v>
      </c>
      <c r="K57" s="127">
        <f>IF(B57="Total",SUM(K$8:K56)+0.0001,IF(OR(B57="",J57&lt;&gt;0),0,VLOOKUP(A57,Journal!$B$7:M$83,8)))</f>
        <v>0</v>
      </c>
      <c r="L57" s="104">
        <f t="shared" si="6"/>
        <v>0</v>
      </c>
      <c r="M57" s="128"/>
      <c r="P57">
        <f t="shared" si="2"/>
        <v>1.0000000000000001E-5</v>
      </c>
      <c r="R57" s="13">
        <f t="shared" si="3"/>
        <v>50</v>
      </c>
      <c r="S57" s="152">
        <f>IF(VLOOKUP(A57,Journal!$A$7:$E$80,5)=0,S56+1,VLOOKUP(A57,Journal!$A$7:$E$80,5))</f>
        <v>45707</v>
      </c>
      <c r="T57" s="151">
        <f>IF(H$2=VLOOKUP(A57,Journal!$A$7:$F$80,6),VLOOKUP(A57,Journal!$A$7:M$80,9),0)</f>
        <v>0</v>
      </c>
      <c r="U57" s="151">
        <f>IF(H$2=VLOOKUP(A57,Journal!$A$7:$G$80,7),VLOOKUP(A57,Journal!$A$7:M$80,9),0)</f>
        <v>0</v>
      </c>
      <c r="V57" s="151">
        <f t="shared" si="4"/>
        <v>40</v>
      </c>
      <c r="X57">
        <f t="shared" si="0"/>
        <v>0</v>
      </c>
      <c r="Y57" s="171">
        <f t="shared" si="1"/>
        <v>-998.76315789473881</v>
      </c>
    </row>
    <row r="58" spans="1:25">
      <c r="A58">
        <f t="shared" si="5"/>
        <v>51</v>
      </c>
      <c r="B58" s="105" t="str">
        <f>IF(OR(B57="Total",B57=""),"",IF(VLOOKUP(A58,Journal!$B$7:$E$83,4)=0,"Total",VLOOKUP(A58,Journal!$B$7:$D$83,3)))</f>
        <v/>
      </c>
      <c r="C58" s="103" t="str">
        <f>IF(B58="","",VLOOKUP(A58,Journal!$B$7:$E$83,4))</f>
        <v/>
      </c>
      <c r="D58" s="137" t="str">
        <f>IF(B58="","",VLOOKUP(A58,Journal!$B$7:$J$83,9))</f>
        <v/>
      </c>
      <c r="E58" s="139"/>
      <c r="F58" s="139"/>
      <c r="G58" s="138"/>
      <c r="H58" s="106" t="str">
        <f>IF(B58="","",VLOOKUP(A58,Journal!$B$7:$L$83,11))</f>
        <v/>
      </c>
      <c r="I58" s="101" t="str">
        <f>IF(B58="","",VLOOKUP(A58,Journal!$B$7:$M$83,12))</f>
        <v/>
      </c>
      <c r="J58" s="127">
        <f>IF(B58="Total",SUM(J$8:J57)+0.0001,IF(OR(B58="",I$2=I58),0,VLOOKUP(A58,Journal!$B$7:M$83,8)))</f>
        <v>0</v>
      </c>
      <c r="K58" s="127">
        <f>IF(B58="Total",SUM(K$8:K57)+0.0001,IF(OR(B58="",J58&lt;&gt;0),0,VLOOKUP(A58,Journal!$B$7:M$83,8)))</f>
        <v>0</v>
      </c>
      <c r="L58" s="104">
        <f t="shared" si="6"/>
        <v>0</v>
      </c>
      <c r="M58" s="128"/>
      <c r="P58">
        <f t="shared" si="2"/>
        <v>1.0000000000000001E-5</v>
      </c>
      <c r="R58" s="13">
        <f t="shared" si="3"/>
        <v>51</v>
      </c>
      <c r="S58" s="152">
        <f>IF(VLOOKUP(A58,Journal!$A$7:$E$80,5)=0,S57+1,VLOOKUP(A58,Journal!$A$7:$E$80,5))</f>
        <v>45708</v>
      </c>
      <c r="T58" s="151">
        <f>IF(H$2=VLOOKUP(A58,Journal!$A$7:$F$80,6),VLOOKUP(A58,Journal!$A$7:M$80,9),0)</f>
        <v>0</v>
      </c>
      <c r="U58" s="151">
        <f>IF(H$2=VLOOKUP(A58,Journal!$A$7:$G$80,7),VLOOKUP(A58,Journal!$A$7:M$80,9),0)</f>
        <v>0</v>
      </c>
      <c r="V58" s="151">
        <f t="shared" si="4"/>
        <v>40</v>
      </c>
      <c r="X58">
        <f t="shared" si="0"/>
        <v>0</v>
      </c>
      <c r="Y58" s="171">
        <f t="shared" si="1"/>
        <v>-998.73684210526517</v>
      </c>
    </row>
    <row r="59" spans="1:25">
      <c r="A59">
        <f t="shared" si="5"/>
        <v>52</v>
      </c>
      <c r="B59" s="105" t="str">
        <f>IF(OR(B58="Total",B58=""),"",IF(VLOOKUP(A59,Journal!$B$7:$E$83,4)=0,"Total",VLOOKUP(A59,Journal!$B$7:$D$83,3)))</f>
        <v/>
      </c>
      <c r="C59" s="103" t="str">
        <f>IF(B59="","",VLOOKUP(A59,Journal!$B$7:$E$83,4))</f>
        <v/>
      </c>
      <c r="D59" s="137" t="str">
        <f>IF(B59="","",VLOOKUP(A59,Journal!$B$7:$J$83,9))</f>
        <v/>
      </c>
      <c r="E59" s="139"/>
      <c r="F59" s="139"/>
      <c r="G59" s="138"/>
      <c r="H59" s="106" t="str">
        <f>IF(B59="","",VLOOKUP(A59,Journal!$B$7:$L$83,11))</f>
        <v/>
      </c>
      <c r="I59" s="101" t="str">
        <f>IF(B59="","",VLOOKUP(A59,Journal!$B$7:$M$83,12))</f>
        <v/>
      </c>
      <c r="J59" s="127">
        <f>IF(B59="Total",SUM(J$8:J58)+0.0001,IF(OR(B59="",I$2=I59),0,VLOOKUP(A59,Journal!$B$7:M$83,8)))</f>
        <v>0</v>
      </c>
      <c r="K59" s="127">
        <f>IF(B59="Total",SUM(K$8:K58)+0.0001,IF(OR(B59="",J59&lt;&gt;0),0,VLOOKUP(A59,Journal!$B$7:M$83,8)))</f>
        <v>0</v>
      </c>
      <c r="L59" s="104">
        <f t="shared" si="6"/>
        <v>0</v>
      </c>
      <c r="M59" s="128"/>
      <c r="P59">
        <f t="shared" si="2"/>
        <v>1.0000000000000001E-5</v>
      </c>
      <c r="R59" s="13">
        <f t="shared" si="3"/>
        <v>52</v>
      </c>
      <c r="S59" s="152">
        <f>IF(VLOOKUP(A59,Journal!$A$7:$E$80,5)=0,S58+1,VLOOKUP(A59,Journal!$A$7:$E$80,5))</f>
        <v>45709</v>
      </c>
      <c r="T59" s="151">
        <f>IF(H$2=VLOOKUP(A59,Journal!$A$7:$F$80,6),VLOOKUP(A59,Journal!$A$7:M$80,9),0)</f>
        <v>0</v>
      </c>
      <c r="U59" s="151">
        <f>IF(H$2=VLOOKUP(A59,Journal!$A$7:$G$80,7),VLOOKUP(A59,Journal!$A$7:M$80,9),0)</f>
        <v>0</v>
      </c>
      <c r="V59" s="151">
        <f t="shared" si="4"/>
        <v>40</v>
      </c>
      <c r="X59">
        <f t="shared" si="0"/>
        <v>0</v>
      </c>
      <c r="Y59" s="171">
        <f t="shared" si="1"/>
        <v>-998.71052631579153</v>
      </c>
    </row>
    <row r="60" spans="1:25">
      <c r="A60">
        <f t="shared" si="5"/>
        <v>53</v>
      </c>
      <c r="B60" s="105" t="str">
        <f>IF(OR(B59="Total",B59=""),"",IF(VLOOKUP(A60,Journal!$B$7:$E$83,4)=0,"Total",VLOOKUP(A60,Journal!$B$7:$D$83,3)))</f>
        <v/>
      </c>
      <c r="C60" s="103" t="str">
        <f>IF(B60="","",VLOOKUP(A60,Journal!$B$7:$E$83,4))</f>
        <v/>
      </c>
      <c r="D60" s="137" t="str">
        <f>IF(B60="","",VLOOKUP(A60,Journal!$B$7:$J$83,9))</f>
        <v/>
      </c>
      <c r="E60" s="139"/>
      <c r="F60" s="139"/>
      <c r="G60" s="138"/>
      <c r="H60" s="106" t="str">
        <f>IF(B60="","",VLOOKUP(A60,Journal!$B$7:$L$83,11))</f>
        <v/>
      </c>
      <c r="I60" s="101" t="str">
        <f>IF(B60="","",VLOOKUP(A60,Journal!$B$7:$M$83,12))</f>
        <v/>
      </c>
      <c r="J60" s="127">
        <f>IF(B60="Total",SUM(J$8:J59)+0.0001,IF(OR(B60="",I$2=I60),0,VLOOKUP(A60,Journal!$B$7:M$83,8)))</f>
        <v>0</v>
      </c>
      <c r="K60" s="127">
        <f>IF(B60="Total",SUM(K$8:K59)+0.0001,IF(OR(B60="",J60&lt;&gt;0),0,VLOOKUP(A60,Journal!$B$7:M$83,8)))</f>
        <v>0</v>
      </c>
      <c r="L60" s="104">
        <f t="shared" si="6"/>
        <v>0</v>
      </c>
      <c r="M60" s="128"/>
      <c r="P60">
        <f t="shared" si="2"/>
        <v>1.0000000000000001E-5</v>
      </c>
      <c r="R60" s="13">
        <f t="shared" si="3"/>
        <v>53</v>
      </c>
      <c r="S60" s="152">
        <f>IF(VLOOKUP(A60,Journal!$A$7:$E$80,5)=0,S59+1,VLOOKUP(A60,Journal!$A$7:$E$80,5))</f>
        <v>45710</v>
      </c>
      <c r="T60" s="151">
        <f>IF(H$2=VLOOKUP(A60,Journal!$A$7:$F$80,6),VLOOKUP(A60,Journal!$A$7:M$80,9),0)</f>
        <v>0</v>
      </c>
      <c r="U60" s="151">
        <f>IF(H$2=VLOOKUP(A60,Journal!$A$7:$G$80,7),VLOOKUP(A60,Journal!$A$7:M$80,9),0)</f>
        <v>0</v>
      </c>
      <c r="V60" s="151">
        <f t="shared" si="4"/>
        <v>40</v>
      </c>
      <c r="X60">
        <f t="shared" si="0"/>
        <v>0</v>
      </c>
      <c r="Y60" s="171">
        <f t="shared" si="1"/>
        <v>-998.68421052631788</v>
      </c>
    </row>
    <row r="61" spans="1:25">
      <c r="A61">
        <f t="shared" si="5"/>
        <v>54</v>
      </c>
      <c r="B61" s="105" t="str">
        <f>IF(OR(B60="Total",B60=""),"",IF(VLOOKUP(A61,Journal!$B$7:$E$83,4)=0,"Total",VLOOKUP(A61,Journal!$B$7:$D$83,3)))</f>
        <v/>
      </c>
      <c r="C61" s="103" t="str">
        <f>IF(B61="","",VLOOKUP(A61,Journal!$B$7:$E$83,4))</f>
        <v/>
      </c>
      <c r="D61" s="137" t="str">
        <f>IF(B61="","",VLOOKUP(A61,Journal!$B$7:$J$83,9))</f>
        <v/>
      </c>
      <c r="E61" s="139"/>
      <c r="F61" s="139"/>
      <c r="G61" s="138"/>
      <c r="H61" s="106" t="str">
        <f>IF(B61="","",VLOOKUP(A61,Journal!$B$7:$L$83,11))</f>
        <v/>
      </c>
      <c r="I61" s="101" t="str">
        <f>IF(B61="","",VLOOKUP(A61,Journal!$B$7:$M$83,12))</f>
        <v/>
      </c>
      <c r="J61" s="127">
        <f>IF(B61="Total",SUM(J$8:J60)+0.0001,IF(OR(B61="",I$2=I61),0,VLOOKUP(A61,Journal!$B$7:M$83,8)))</f>
        <v>0</v>
      </c>
      <c r="K61" s="127">
        <f>IF(B61="Total",SUM(K$8:K60)+0.0001,IF(OR(B61="",J61&lt;&gt;0),0,VLOOKUP(A61,Journal!$B$7:M$83,8)))</f>
        <v>0</v>
      </c>
      <c r="L61" s="104">
        <f t="shared" si="6"/>
        <v>0</v>
      </c>
      <c r="M61" s="128"/>
      <c r="P61">
        <f t="shared" si="2"/>
        <v>1.0000000000000001E-5</v>
      </c>
      <c r="R61" s="13">
        <f t="shared" si="3"/>
        <v>54</v>
      </c>
      <c r="S61" s="152">
        <f>IF(VLOOKUP(A61,Journal!$A$7:$E$80,5)=0,S60+1,VLOOKUP(A61,Journal!$A$7:$E$80,5))</f>
        <v>45711</v>
      </c>
      <c r="T61" s="151">
        <f>IF(H$2=VLOOKUP(A61,Journal!$A$7:$F$80,6),VLOOKUP(A61,Journal!$A$7:M$80,9),0)</f>
        <v>0</v>
      </c>
      <c r="U61" s="151">
        <f>IF(H$2=VLOOKUP(A61,Journal!$A$7:$G$80,7),VLOOKUP(A61,Journal!$A$7:M$80,9),0)</f>
        <v>0</v>
      </c>
      <c r="V61" s="151">
        <f t="shared" si="4"/>
        <v>40</v>
      </c>
      <c r="X61">
        <f t="shared" si="0"/>
        <v>0</v>
      </c>
      <c r="Y61" s="171">
        <f t="shared" si="1"/>
        <v>-998.65789473684424</v>
      </c>
    </row>
    <row r="62" spans="1:25">
      <c r="A62">
        <f t="shared" si="5"/>
        <v>55</v>
      </c>
      <c r="B62" s="105" t="str">
        <f>IF(OR(B61="Total",B61=""),"",IF(VLOOKUP(A62,Journal!$B$7:$E$83,4)=0,"Total",VLOOKUP(A62,Journal!$B$7:$D$83,3)))</f>
        <v/>
      </c>
      <c r="C62" s="103" t="str">
        <f>IF(B62="","",VLOOKUP(A62,Journal!$B$7:$E$83,4))</f>
        <v/>
      </c>
      <c r="D62" s="137" t="str">
        <f>IF(B62="","",VLOOKUP(A62,Journal!$B$7:$J$83,9))</f>
        <v/>
      </c>
      <c r="E62" s="139"/>
      <c r="F62" s="139"/>
      <c r="G62" s="138"/>
      <c r="H62" s="106" t="str">
        <f>IF(B62="","",VLOOKUP(A62,Journal!$B$7:$L$83,11))</f>
        <v/>
      </c>
      <c r="I62" s="101" t="str">
        <f>IF(B62="","",VLOOKUP(A62,Journal!$B$7:$M$83,12))</f>
        <v/>
      </c>
      <c r="J62" s="127">
        <f>IF(B62="Total",SUM(J$8:J61)+0.0001,IF(OR(B62="",I$2=I62),0,VLOOKUP(A62,Journal!$B$7:M$83,8)))</f>
        <v>0</v>
      </c>
      <c r="K62" s="127">
        <f>IF(B62="Total",SUM(K$8:K61)+0.0001,IF(OR(B62="",J62&lt;&gt;0),0,VLOOKUP(A62,Journal!$B$7:M$83,8)))</f>
        <v>0</v>
      </c>
      <c r="L62" s="104">
        <f t="shared" si="6"/>
        <v>0</v>
      </c>
      <c r="M62" s="128"/>
      <c r="P62">
        <f t="shared" si="2"/>
        <v>1.0000000000000001E-5</v>
      </c>
      <c r="R62" s="13">
        <f t="shared" si="3"/>
        <v>55</v>
      </c>
      <c r="S62" s="152">
        <f>IF(VLOOKUP(A62,Journal!$A$7:$E$80,5)=0,S61+1,VLOOKUP(A62,Journal!$A$7:$E$80,5))</f>
        <v>45712</v>
      </c>
      <c r="T62" s="151">
        <f>IF(H$2=VLOOKUP(A62,Journal!$A$7:$F$80,6),VLOOKUP(A62,Journal!$A$7:M$80,9),0)</f>
        <v>0</v>
      </c>
      <c r="U62" s="151">
        <f>IF(H$2=VLOOKUP(A62,Journal!$A$7:$G$80,7),VLOOKUP(A62,Journal!$A$7:M$80,9),0)</f>
        <v>0</v>
      </c>
      <c r="V62" s="151">
        <f t="shared" si="4"/>
        <v>40</v>
      </c>
      <c r="X62">
        <f t="shared" si="0"/>
        <v>0</v>
      </c>
      <c r="Y62" s="171">
        <f t="shared" si="1"/>
        <v>-998.6315789473706</v>
      </c>
    </row>
    <row r="63" spans="1:25">
      <c r="A63">
        <f t="shared" si="5"/>
        <v>56</v>
      </c>
      <c r="B63" s="105" t="str">
        <f>IF(OR(B62="Total",B62=""),"",IF(VLOOKUP(A63,Journal!$B$7:$E$83,4)=0,"Total",VLOOKUP(A63,Journal!$B$7:$D$83,3)))</f>
        <v/>
      </c>
      <c r="C63" s="103" t="str">
        <f>IF(B63="","",VLOOKUP(A63,Journal!$B$7:$E$83,4))</f>
        <v/>
      </c>
      <c r="D63" s="137" t="str">
        <f>IF(B63="","",VLOOKUP(A63,Journal!$B$7:$J$83,9))</f>
        <v/>
      </c>
      <c r="E63" s="139"/>
      <c r="F63" s="139"/>
      <c r="G63" s="138"/>
      <c r="H63" s="106" t="str">
        <f>IF(B63="","",VLOOKUP(A63,Journal!$B$7:$L$83,11))</f>
        <v/>
      </c>
      <c r="I63" s="101" t="str">
        <f>IF(B63="","",VLOOKUP(A63,Journal!$B$7:$M$83,12))</f>
        <v/>
      </c>
      <c r="J63" s="127">
        <f>IF(B63="Total",SUM(J$8:J62)+0.0001,IF(OR(B63="",I$2=I63),0,VLOOKUP(A63,Journal!$B$7:M$83,8)))</f>
        <v>0</v>
      </c>
      <c r="K63" s="127">
        <f>IF(B63="Total",SUM(K$8:K62)+0.0001,IF(OR(B63="",J63&lt;&gt;0),0,VLOOKUP(A63,Journal!$B$7:M$83,8)))</f>
        <v>0</v>
      </c>
      <c r="L63" s="104">
        <f t="shared" si="6"/>
        <v>0</v>
      </c>
      <c r="M63" s="128"/>
      <c r="P63">
        <f t="shared" si="2"/>
        <v>1.0000000000000001E-5</v>
      </c>
      <c r="R63" s="13">
        <f t="shared" si="3"/>
        <v>56</v>
      </c>
      <c r="S63" s="152">
        <f>IF(VLOOKUP(A63,Journal!$A$7:$E$80,5)=0,S62+1,VLOOKUP(A63,Journal!$A$7:$E$80,5))</f>
        <v>45713</v>
      </c>
      <c r="T63" s="151">
        <f>IF(H$2=VLOOKUP(A63,Journal!$A$7:$F$80,6),VLOOKUP(A63,Journal!$A$7:M$80,9),0)</f>
        <v>0</v>
      </c>
      <c r="U63" s="151">
        <f>IF(H$2=VLOOKUP(A63,Journal!$A$7:$G$80,7),VLOOKUP(A63,Journal!$A$7:M$80,9),0)</f>
        <v>0</v>
      </c>
      <c r="V63" s="151">
        <f t="shared" si="4"/>
        <v>40</v>
      </c>
      <c r="X63">
        <f t="shared" si="0"/>
        <v>0</v>
      </c>
      <c r="Y63" s="171">
        <f t="shared" si="1"/>
        <v>-998.60526315789696</v>
      </c>
    </row>
    <row r="64" spans="1:25">
      <c r="A64">
        <f t="shared" si="5"/>
        <v>57</v>
      </c>
      <c r="B64" s="105" t="str">
        <f>IF(OR(B63="Total",B63=""),"",IF(VLOOKUP(A64,Journal!$B$7:$E$83,4)=0,"Total",VLOOKUP(A64,Journal!$B$7:$D$83,3)))</f>
        <v/>
      </c>
      <c r="C64" s="103" t="str">
        <f>IF(B64="","",VLOOKUP(A64,Journal!$B$7:$E$83,4))</f>
        <v/>
      </c>
      <c r="D64" s="137" t="str">
        <f>IF(B64="","",VLOOKUP(A64,Journal!$B$7:$J$83,9))</f>
        <v/>
      </c>
      <c r="E64" s="139"/>
      <c r="F64" s="139"/>
      <c r="G64" s="138"/>
      <c r="H64" s="106" t="str">
        <f>IF(B64="","",VLOOKUP(A64,Journal!$B$7:$L$83,11))</f>
        <v/>
      </c>
      <c r="I64" s="101" t="str">
        <f>IF(B64="","",VLOOKUP(A64,Journal!$B$7:$M$83,12))</f>
        <v/>
      </c>
      <c r="J64" s="127">
        <f>IF(B64="Total",SUM(J$8:J63)+0.0001,IF(OR(B64="",I$2=I64),0,VLOOKUP(A64,Journal!$B$7:M$83,8)))</f>
        <v>0</v>
      </c>
      <c r="K64" s="127">
        <f>IF(B64="Total",SUM(K$8:K63)+0.0001,IF(OR(B64="",J64&lt;&gt;0),0,VLOOKUP(A64,Journal!$B$7:M$83,8)))</f>
        <v>0</v>
      </c>
      <c r="L64" s="104">
        <f t="shared" si="6"/>
        <v>0</v>
      </c>
      <c r="M64" s="128"/>
      <c r="P64">
        <f t="shared" si="2"/>
        <v>1.0000000000000001E-5</v>
      </c>
      <c r="R64" s="13">
        <f t="shared" si="3"/>
        <v>57</v>
      </c>
      <c r="S64" s="152">
        <f>IF(VLOOKUP(A64,Journal!$A$7:$E$80,5)=0,S63+1,VLOOKUP(A64,Journal!$A$7:$E$80,5))</f>
        <v>45714</v>
      </c>
      <c r="T64" s="151">
        <f>IF(H$2=VLOOKUP(A64,Journal!$A$7:$F$80,6),VLOOKUP(A64,Journal!$A$7:M$80,9),0)</f>
        <v>0</v>
      </c>
      <c r="U64" s="151">
        <f>IF(H$2=VLOOKUP(A64,Journal!$A$7:$G$80,7),VLOOKUP(A64,Journal!$A$7:M$80,9),0)</f>
        <v>0</v>
      </c>
      <c r="V64" s="151">
        <f t="shared" si="4"/>
        <v>40</v>
      </c>
      <c r="X64">
        <f>IF(J$2&gt;S64,1,0)</f>
        <v>0</v>
      </c>
      <c r="Y64" s="171">
        <f t="shared" si="1"/>
        <v>-998.57894736842331</v>
      </c>
    </row>
    <row r="65" spans="1:25">
      <c r="A65">
        <f t="shared" si="5"/>
        <v>58</v>
      </c>
      <c r="B65" s="105" t="str">
        <f>IF(OR(B64="Total",B64=""),"",IF(VLOOKUP(A65,Journal!$B$7:$E$83,4)=0,"Total",VLOOKUP(A65,Journal!$B$7:$D$83,3)))</f>
        <v/>
      </c>
      <c r="C65" s="103" t="str">
        <f>IF(B65="","",VLOOKUP(A65,Journal!$B$7:$E$83,4))</f>
        <v/>
      </c>
      <c r="D65" s="137" t="str">
        <f>IF(B65="","",VLOOKUP(A65,Journal!$B$7:$J$83,9))</f>
        <v/>
      </c>
      <c r="E65" s="139"/>
      <c r="F65" s="139"/>
      <c r="G65" s="138"/>
      <c r="H65" s="106" t="str">
        <f>IF(B65="","",VLOOKUP(A65,Journal!$B$7:$L$83,11))</f>
        <v/>
      </c>
      <c r="I65" s="101" t="str">
        <f>IF(B65="","",VLOOKUP(A65,Journal!$B$7:$M$83,12))</f>
        <v/>
      </c>
      <c r="J65" s="127">
        <f>IF(B65="Total",SUM(J$8:J64)+0.0001,IF(OR(B65="",I$2=I65),0,VLOOKUP(A65,Journal!$B$7:M$83,8)))</f>
        <v>0</v>
      </c>
      <c r="K65" s="127">
        <f>IF(B65="Total",SUM(K$8:K64)+0.0001,IF(OR(B65="",J65&lt;&gt;0),0,VLOOKUP(A65,Journal!$B$7:M$83,8)))</f>
        <v>0</v>
      </c>
      <c r="L65" s="104">
        <f t="shared" si="6"/>
        <v>0</v>
      </c>
      <c r="M65" s="128"/>
      <c r="P65">
        <f t="shared" si="2"/>
        <v>1.0000000000000001E-5</v>
      </c>
      <c r="R65" s="13">
        <f t="shared" si="3"/>
        <v>58</v>
      </c>
      <c r="S65" s="152">
        <f>IF(VLOOKUP(A65,Journal!$A$7:$E$80,5)=0,S64+1,VLOOKUP(A65,Journal!$A$7:$E$80,5))</f>
        <v>45715</v>
      </c>
      <c r="T65" s="151">
        <f>IF(H$2=VLOOKUP(A65,Journal!$A$7:$F$80,6),VLOOKUP(A65,Journal!$A$7:M$80,9),0)</f>
        <v>0</v>
      </c>
      <c r="U65" s="151">
        <f>IF(H$2=VLOOKUP(A65,Journal!$A$7:$G$80,7),VLOOKUP(A65,Journal!$A$7:M$80,9),0)</f>
        <v>0</v>
      </c>
      <c r="V65" s="151">
        <f t="shared" si="4"/>
        <v>40</v>
      </c>
      <c r="X65">
        <f t="shared" si="0"/>
        <v>0</v>
      </c>
      <c r="Y65" s="171">
        <f t="shared" si="1"/>
        <v>-998.55263157894967</v>
      </c>
    </row>
    <row r="66" spans="1:25">
      <c r="A66">
        <f t="shared" si="5"/>
        <v>59</v>
      </c>
      <c r="B66" s="105" t="str">
        <f>IF(OR(B65="Total",B65=""),"",IF(VLOOKUP(A66,Journal!$B$7:$E$83,4)=0,"Total",VLOOKUP(A66,Journal!$B$7:$D$83,3)))</f>
        <v/>
      </c>
      <c r="C66" s="103" t="str">
        <f>IF(B66="","",VLOOKUP(A66,Journal!$B$7:$E$83,4))</f>
        <v/>
      </c>
      <c r="D66" s="137" t="str">
        <f>IF(B66="","",VLOOKUP(A66,Journal!$B$7:$J$83,9))</f>
        <v/>
      </c>
      <c r="E66" s="139"/>
      <c r="F66" s="139"/>
      <c r="G66" s="138"/>
      <c r="H66" s="106" t="str">
        <f>IF(B66="","",VLOOKUP(A66,Journal!$B$7:$L$83,11))</f>
        <v/>
      </c>
      <c r="I66" s="101" t="str">
        <f>IF(B66="","",VLOOKUP(A66,Journal!$B$7:$M$83,12))</f>
        <v/>
      </c>
      <c r="J66" s="127">
        <f>IF(B66="Total",SUM(J$8:J65)+0.0001,IF(OR(B66="",I$2=I66),0,VLOOKUP(A66,Journal!$B$7:M$83,8)))</f>
        <v>0</v>
      </c>
      <c r="K66" s="127">
        <f>IF(B66="Total",SUM(K$8:K65)+0.0001,IF(OR(B66="",J66&lt;&gt;0),0,VLOOKUP(A66,Journal!$B$7:M$83,8)))</f>
        <v>0</v>
      </c>
      <c r="L66" s="104">
        <f t="shared" si="6"/>
        <v>0</v>
      </c>
      <c r="M66" s="128"/>
      <c r="P66">
        <f t="shared" si="2"/>
        <v>1.0000000000000001E-5</v>
      </c>
      <c r="R66" s="13">
        <f t="shared" si="3"/>
        <v>59</v>
      </c>
      <c r="S66" s="152">
        <f>IF(VLOOKUP(A66,Journal!$A$7:$E$80,5)=0,S65+1,VLOOKUP(A66,Journal!$A$7:$E$80,5))</f>
        <v>45716</v>
      </c>
      <c r="T66" s="151">
        <f>IF(H$2=VLOOKUP(A66,Journal!$A$7:$F$80,6),VLOOKUP(A66,Journal!$A$7:M$80,9),0)</f>
        <v>0</v>
      </c>
      <c r="U66" s="151">
        <f>IF(H$2=VLOOKUP(A66,Journal!$A$7:$G$80,7),VLOOKUP(A66,Journal!$A$7:M$80,9),0)</f>
        <v>0</v>
      </c>
      <c r="V66" s="151">
        <f t="shared" si="4"/>
        <v>40</v>
      </c>
      <c r="X66">
        <f t="shared" si="0"/>
        <v>0</v>
      </c>
      <c r="Y66" s="171">
        <f t="shared" si="1"/>
        <v>-998.52631578947603</v>
      </c>
    </row>
    <row r="67" spans="1:25">
      <c r="A67">
        <f t="shared" si="5"/>
        <v>60</v>
      </c>
      <c r="B67" s="105" t="str">
        <f>IF(OR(B66="Total",B66=""),"",IF(VLOOKUP(A67,Journal!$B$7:$E$83,4)=0,"Total",VLOOKUP(A67,Journal!$B$7:$D$83,3)))</f>
        <v/>
      </c>
      <c r="C67" s="103" t="str">
        <f>IF(B67="","",VLOOKUP(A67,Journal!$B$7:$E$83,4))</f>
        <v/>
      </c>
      <c r="D67" s="137" t="str">
        <f>IF(B67="","",VLOOKUP(A67,Journal!$B$7:$J$83,9))</f>
        <v/>
      </c>
      <c r="E67" s="139"/>
      <c r="F67" s="139"/>
      <c r="G67" s="138"/>
      <c r="H67" s="106" t="str">
        <f>IF(B67="","",VLOOKUP(A67,Journal!$B$7:$L$83,11))</f>
        <v/>
      </c>
      <c r="I67" s="101" t="str">
        <f>IF(B67="","",VLOOKUP(A67,Journal!$B$7:$M$83,12))</f>
        <v/>
      </c>
      <c r="J67" s="127">
        <f>IF(B67="Total",SUM(J$8:J66)+0.0001,IF(OR(B67="",I$2=I67),0,VLOOKUP(A67,Journal!$B$7:M$83,8)))</f>
        <v>0</v>
      </c>
      <c r="K67" s="127">
        <f>IF(B67="Total",SUM(K$8:K66)+0.0001,IF(OR(B67="",J67&lt;&gt;0),0,VLOOKUP(A67,Journal!$B$7:M$83,8)))</f>
        <v>0</v>
      </c>
      <c r="L67" s="104">
        <f t="shared" si="6"/>
        <v>0</v>
      </c>
      <c r="M67" s="128"/>
      <c r="P67">
        <f t="shared" si="2"/>
        <v>1.0000000000000001E-5</v>
      </c>
      <c r="R67" s="13">
        <f t="shared" si="3"/>
        <v>60</v>
      </c>
      <c r="S67" s="152">
        <f>IF(VLOOKUP(A67,Journal!$A$7:$E$80,5)=0,S66+1,VLOOKUP(A67,Journal!$A$7:$E$80,5))</f>
        <v>45717</v>
      </c>
      <c r="T67" s="151">
        <f>IF(H$2=VLOOKUP(A67,Journal!$A$7:$F$80,6),VLOOKUP(A67,Journal!$A$7:M$80,9),0)</f>
        <v>0</v>
      </c>
      <c r="U67" s="151">
        <f>IF(H$2=VLOOKUP(A67,Journal!$A$7:$G$80,7),VLOOKUP(A67,Journal!$A$7:M$80,9),0)</f>
        <v>0</v>
      </c>
      <c r="V67" s="151">
        <f t="shared" si="4"/>
        <v>40</v>
      </c>
      <c r="X67">
        <f t="shared" si="0"/>
        <v>0</v>
      </c>
      <c r="Y67" s="171">
        <f t="shared" si="1"/>
        <v>-998.50000000000239</v>
      </c>
    </row>
    <row r="68" spans="1:25">
      <c r="A68">
        <f t="shared" si="5"/>
        <v>61</v>
      </c>
      <c r="B68" s="105" t="str">
        <f>IF(OR(B67="Total",B67=""),"",IF(VLOOKUP(A68,Journal!$B$7:$E$83,4)=0,"Total",VLOOKUP(A68,Journal!$B$7:$D$83,3)))</f>
        <v/>
      </c>
      <c r="C68" s="103" t="str">
        <f>IF(B68="","",VLOOKUP(A68,Journal!$B$7:$E$83,4))</f>
        <v/>
      </c>
      <c r="D68" s="137" t="str">
        <f>IF(B68="","",VLOOKUP(A68,Journal!$B$7:$J$83,9))</f>
        <v/>
      </c>
      <c r="E68" s="139"/>
      <c r="F68" s="139"/>
      <c r="G68" s="138"/>
      <c r="H68" s="106" t="str">
        <f>IF(B68="","",VLOOKUP(A68,Journal!$B$7:$L$83,11))</f>
        <v/>
      </c>
      <c r="I68" s="101" t="str">
        <f>IF(B68="","",VLOOKUP(A68,Journal!$B$7:$M$83,12))</f>
        <v/>
      </c>
      <c r="J68" s="127">
        <f>IF(B68="Total",SUM(J$8:J67)+0.0001,IF(OR(B68="",I$2=I68),0,VLOOKUP(A68,Journal!$B$7:M$83,8)))</f>
        <v>0</v>
      </c>
      <c r="K68" s="127">
        <f>IF(B68="Total",SUM(K$8:K67)+0.0001,IF(OR(B68="",J68&lt;&gt;0),0,VLOOKUP(A68,Journal!$B$7:M$83,8)))</f>
        <v>0</v>
      </c>
      <c r="L68" s="104">
        <f t="shared" si="6"/>
        <v>0</v>
      </c>
      <c r="M68" s="128"/>
      <c r="P68">
        <f t="shared" si="2"/>
        <v>1.0000000000000001E-5</v>
      </c>
      <c r="R68" s="13">
        <f t="shared" si="3"/>
        <v>61</v>
      </c>
      <c r="S68" s="152">
        <f>IF(VLOOKUP(A68,Journal!$A$7:$E$80,5)=0,S67+1,VLOOKUP(A68,Journal!$A$7:$E$80,5))</f>
        <v>45718</v>
      </c>
      <c r="T68" s="151">
        <f>IF(H$2=VLOOKUP(A68,Journal!$A$7:$F$80,6),VLOOKUP(A68,Journal!$A$7:M$80,9),0)</f>
        <v>0</v>
      </c>
      <c r="U68" s="151">
        <f>IF(H$2=VLOOKUP(A68,Journal!$A$7:$G$80,7),VLOOKUP(A68,Journal!$A$7:M$80,9),0)</f>
        <v>0</v>
      </c>
      <c r="V68" s="151">
        <f t="shared" si="4"/>
        <v>40</v>
      </c>
      <c r="X68">
        <f t="shared" si="0"/>
        <v>0</v>
      </c>
      <c r="Y68" s="171">
        <f t="shared" si="1"/>
        <v>-998.47368421052875</v>
      </c>
    </row>
    <row r="69" spans="1:25">
      <c r="A69">
        <f t="shared" si="5"/>
        <v>62</v>
      </c>
      <c r="B69" s="105" t="str">
        <f>IF(OR(B68="Total",B68=""),"",IF(VLOOKUP(A69,Journal!$B$7:$E$83,4)=0,"Total",VLOOKUP(A69,Journal!$B$7:$D$83,3)))</f>
        <v/>
      </c>
      <c r="C69" s="103" t="str">
        <f>IF(B69="","",VLOOKUP(A69,Journal!$B$7:$E$83,4))</f>
        <v/>
      </c>
      <c r="D69" s="137" t="str">
        <f>IF(B69="","",VLOOKUP(A69,Journal!$B$7:$J$83,9))</f>
        <v/>
      </c>
      <c r="E69" s="139"/>
      <c r="F69" s="139"/>
      <c r="G69" s="138"/>
      <c r="H69" s="106" t="str">
        <f>IF(B69="","",VLOOKUP(A69,Journal!$B$7:$L$83,11))</f>
        <v/>
      </c>
      <c r="I69" s="101" t="str">
        <f>IF(B69="","",VLOOKUP(A69,Journal!$B$7:$M$83,12))</f>
        <v/>
      </c>
      <c r="J69" s="127">
        <f>IF(B69="Total",SUM(J$8:J68)+0.0001,IF(OR(B69="",I$2=I69),0,VLOOKUP(A69,Journal!$B$7:M$83,8)))</f>
        <v>0</v>
      </c>
      <c r="K69" s="127">
        <f>IF(B69="Total",SUM(K$8:K68)+0.0001,IF(OR(B69="",J69&lt;&gt;0),0,VLOOKUP(A69,Journal!$B$7:M$83,8)))</f>
        <v>0</v>
      </c>
      <c r="L69" s="104">
        <f t="shared" si="6"/>
        <v>0</v>
      </c>
      <c r="M69" s="128"/>
      <c r="P69">
        <f t="shared" si="2"/>
        <v>1.0000000000000001E-5</v>
      </c>
      <c r="R69" s="13">
        <f t="shared" si="3"/>
        <v>62</v>
      </c>
      <c r="S69" s="152">
        <f>IF(VLOOKUP(A69,Journal!$A$7:$E$80,5)=0,S68+1,VLOOKUP(A69,Journal!$A$7:$E$80,5))</f>
        <v>45719</v>
      </c>
      <c r="T69" s="151">
        <f>IF(H$2=VLOOKUP(A69,Journal!$A$7:$F$80,6),VLOOKUP(A69,Journal!$A$7:M$80,9),0)</f>
        <v>0</v>
      </c>
      <c r="U69" s="151">
        <f>IF(H$2=VLOOKUP(A69,Journal!$A$7:$G$80,7),VLOOKUP(A69,Journal!$A$7:M$80,9),0)</f>
        <v>0</v>
      </c>
      <c r="V69" s="151">
        <f t="shared" si="4"/>
        <v>40</v>
      </c>
      <c r="X69">
        <f t="shared" si="0"/>
        <v>0</v>
      </c>
      <c r="Y69" s="171">
        <f t="shared" si="1"/>
        <v>-998.4473684210551</v>
      </c>
    </row>
    <row r="70" spans="1:25">
      <c r="A70">
        <f t="shared" si="5"/>
        <v>63</v>
      </c>
      <c r="B70" s="105" t="str">
        <f>IF(OR(B69="Total",B69=""),"",IF(VLOOKUP(A70,Journal!$B$7:$E$83,4)=0,"Total",VLOOKUP(A70,Journal!$B$7:$D$83,3)))</f>
        <v/>
      </c>
      <c r="C70" s="103" t="str">
        <f>IF(B70="","",VLOOKUP(A70,Journal!$B$7:$E$83,4))</f>
        <v/>
      </c>
      <c r="D70" s="137" t="str">
        <f>IF(B70="","",VLOOKUP(A70,Journal!$B$7:$J$83,9))</f>
        <v/>
      </c>
      <c r="E70" s="139"/>
      <c r="F70" s="139"/>
      <c r="G70" s="138"/>
      <c r="H70" s="106" t="str">
        <f>IF(B70="","",VLOOKUP(A70,Journal!$B$7:$L$83,11))</f>
        <v/>
      </c>
      <c r="I70" s="101" t="str">
        <f>IF(B70="","",VLOOKUP(A70,Journal!$B$7:$M$83,12))</f>
        <v/>
      </c>
      <c r="J70" s="127">
        <f>IF(B70="Total",SUM(J$8:J69)+0.0001,IF(OR(B70="",I$2=I70),0,VLOOKUP(A70,Journal!$B$7:M$83,8)))</f>
        <v>0</v>
      </c>
      <c r="K70" s="127">
        <f>IF(B70="Total",SUM(K$8:K69)+0.0001,IF(OR(B70="",J70&lt;&gt;0),0,VLOOKUP(A70,Journal!$B$7:M$83,8)))</f>
        <v>0</v>
      </c>
      <c r="L70" s="104">
        <f t="shared" si="6"/>
        <v>0</v>
      </c>
      <c r="M70" s="128"/>
      <c r="P70">
        <f t="shared" si="2"/>
        <v>1.0000000000000001E-5</v>
      </c>
      <c r="R70" s="13">
        <f t="shared" si="3"/>
        <v>63</v>
      </c>
      <c r="S70" s="152">
        <f>IF(VLOOKUP(A70,Journal!$A$7:$E$80,5)=0,S69+1,VLOOKUP(A70,Journal!$A$7:$E$80,5))</f>
        <v>45720</v>
      </c>
      <c r="T70" s="151">
        <f>IF(H$2=VLOOKUP(A70,Journal!$A$7:$F$80,6),VLOOKUP(A70,Journal!$A$7:M$80,9),0)</f>
        <v>0</v>
      </c>
      <c r="U70" s="151">
        <f>IF(H$2=VLOOKUP(A70,Journal!$A$7:$G$80,7),VLOOKUP(A70,Journal!$A$7:M$80,9),0)</f>
        <v>0</v>
      </c>
      <c r="V70" s="151">
        <f t="shared" si="4"/>
        <v>40</v>
      </c>
      <c r="X70">
        <f t="shared" si="0"/>
        <v>0</v>
      </c>
      <c r="Y70" s="171">
        <f t="shared" si="1"/>
        <v>-998.42105263158146</v>
      </c>
    </row>
    <row r="71" spans="1:25">
      <c r="A71">
        <f t="shared" si="5"/>
        <v>64</v>
      </c>
      <c r="B71" s="105" t="str">
        <f>IF(OR(B70="Total",B70=""),"",IF(VLOOKUP(A71,Journal!$B$7:$E$83,4)=0,"Total",VLOOKUP(A71,Journal!$B$7:$D$83,3)))</f>
        <v/>
      </c>
      <c r="C71" s="103" t="str">
        <f>IF(B71="","",VLOOKUP(A71,Journal!$B$7:$E$83,4))</f>
        <v/>
      </c>
      <c r="D71" s="137" t="str">
        <f>IF(B71="","",VLOOKUP(A71,Journal!$B$7:$J$83,9))</f>
        <v/>
      </c>
      <c r="E71" s="139"/>
      <c r="F71" s="139"/>
      <c r="G71" s="138"/>
      <c r="H71" s="106" t="str">
        <f>IF(B71="","",VLOOKUP(A71,Journal!$B$7:$L$83,11))</f>
        <v/>
      </c>
      <c r="I71" s="101" t="str">
        <f>IF(B71="","",VLOOKUP(A71,Journal!$B$7:$M$83,12))</f>
        <v/>
      </c>
      <c r="J71" s="127">
        <f>IF(B71="Total",SUM(J$8:J70)+0.0001,IF(OR(B71="",I$2=I71),0,VLOOKUP(A71,Journal!$B$7:M$83,8)))</f>
        <v>0</v>
      </c>
      <c r="K71" s="127">
        <f>IF(B71="Total",SUM(K$8:K70)+0.0001,IF(OR(B71="",J71&lt;&gt;0),0,VLOOKUP(A71,Journal!$B$7:M$83,8)))</f>
        <v>0</v>
      </c>
      <c r="L71" s="104">
        <f t="shared" si="6"/>
        <v>0</v>
      </c>
      <c r="M71" s="128"/>
      <c r="P71">
        <f t="shared" si="2"/>
        <v>1.0000000000000001E-5</v>
      </c>
      <c r="R71" s="13">
        <f t="shared" si="3"/>
        <v>64</v>
      </c>
      <c r="S71" s="152">
        <f>IF(VLOOKUP(A71,Journal!$A$7:$E$80,5)=0,S70+1,VLOOKUP(A71,Journal!$A$7:$E$80,5))</f>
        <v>45721</v>
      </c>
      <c r="T71" s="151">
        <f>IF(H$2=VLOOKUP(A71,Journal!$A$7:$F$80,6),VLOOKUP(A71,Journal!$A$7:M$80,9),0)</f>
        <v>0</v>
      </c>
      <c r="U71" s="151">
        <f>IF(H$2=VLOOKUP(A71,Journal!$A$7:$G$80,7),VLOOKUP(A71,Journal!$A$7:M$80,9),0)</f>
        <v>0</v>
      </c>
      <c r="V71" s="151">
        <f t="shared" si="4"/>
        <v>40</v>
      </c>
      <c r="X71">
        <f t="shared" si="0"/>
        <v>0</v>
      </c>
      <c r="Y71" s="171">
        <f t="shared" si="1"/>
        <v>-998.39473684210782</v>
      </c>
    </row>
    <row r="72" spans="1:25">
      <c r="A72">
        <f t="shared" si="5"/>
        <v>65</v>
      </c>
      <c r="B72" s="105" t="str">
        <f>IF(OR(B71="Total",B71=""),"",IF(VLOOKUP(A72,Journal!$B$7:$E$83,4)=0,"Total",VLOOKUP(A72,Journal!$B$7:$D$83,3)))</f>
        <v/>
      </c>
      <c r="C72" s="103" t="str">
        <f>IF(B72="","",VLOOKUP(A72,Journal!$B$7:$E$83,4))</f>
        <v/>
      </c>
      <c r="D72" s="137" t="str">
        <f>IF(B72="","",VLOOKUP(A72,Journal!$B$7:$J$83,9))</f>
        <v/>
      </c>
      <c r="E72" s="139"/>
      <c r="F72" s="139"/>
      <c r="G72" s="138"/>
      <c r="H72" s="106" t="str">
        <f>IF(B72="","",VLOOKUP(A72,Journal!$B$7:$L$83,11))</f>
        <v/>
      </c>
      <c r="I72" s="101" t="str">
        <f>IF(B72="","",VLOOKUP(A72,Journal!$B$7:$M$83,12))</f>
        <v/>
      </c>
      <c r="J72" s="127">
        <f>IF(B72="Total",SUM(J$8:J71)+0.0001,IF(OR(B72="",I$2=I72),0,VLOOKUP(A72,Journal!$B$7:M$83,8)))</f>
        <v>0</v>
      </c>
      <c r="K72" s="127">
        <f>IF(B72="Total",SUM(K$8:K71)+0.0001,IF(OR(B72="",J72&lt;&gt;0),0,VLOOKUP(A72,Journal!$B$7:M$83,8)))</f>
        <v>0</v>
      </c>
      <c r="L72" s="104">
        <f t="shared" ref="L72:L92" si="7">IF(B72="Total",L71,IF(B72="",0,IF($M$1=1,L71+J72-K72,L71-J72+K72)))</f>
        <v>0</v>
      </c>
      <c r="M72" s="128"/>
      <c r="P72">
        <f t="shared" si="2"/>
        <v>1.0000000000000001E-5</v>
      </c>
      <c r="R72" s="13">
        <f t="shared" si="3"/>
        <v>65</v>
      </c>
      <c r="S72" s="152">
        <f>IF(VLOOKUP(A72,Journal!$A$7:$E$80,5)=0,S71+1,VLOOKUP(A72,Journal!$A$7:$E$80,5))</f>
        <v>45722</v>
      </c>
      <c r="T72" s="151">
        <f>IF(H$2=VLOOKUP(A72,Journal!$A$7:$F$80,6),VLOOKUP(A72,Journal!$A$7:M$80,9),0)</f>
        <v>0</v>
      </c>
      <c r="U72" s="151">
        <f>IF(H$2=VLOOKUP(A72,Journal!$A$7:$G$80,7),VLOOKUP(A72,Journal!$A$7:M$80,9),0)</f>
        <v>0</v>
      </c>
      <c r="V72" s="151">
        <f t="shared" si="4"/>
        <v>40</v>
      </c>
      <c r="X72">
        <f t="shared" si="0"/>
        <v>0</v>
      </c>
      <c r="Y72" s="171">
        <f t="shared" ref="Y72:Y92" si="8">IF(B71="Total",-1000,Y71+Y$4)</f>
        <v>-998.36842105263418</v>
      </c>
    </row>
    <row r="73" spans="1:25">
      <c r="A73">
        <f t="shared" si="5"/>
        <v>66</v>
      </c>
      <c r="B73" s="105" t="str">
        <f>IF(OR(B72="Total",B72=""),"",IF(VLOOKUP(A73,Journal!$B$7:$E$83,4)=0,"Total",VLOOKUP(A73,Journal!$B$7:$D$83,3)))</f>
        <v/>
      </c>
      <c r="C73" s="103" t="str">
        <f>IF(B73="","",VLOOKUP(A73,Journal!$B$7:$E$83,4))</f>
        <v/>
      </c>
      <c r="D73" s="137" t="str">
        <f>IF(B73="","",VLOOKUP(A73,Journal!$B$7:$J$83,9))</f>
        <v/>
      </c>
      <c r="E73" s="139"/>
      <c r="F73" s="139"/>
      <c r="G73" s="138"/>
      <c r="H73" s="106" t="str">
        <f>IF(B73="","",VLOOKUP(A73,Journal!$B$7:$L$83,11))</f>
        <v/>
      </c>
      <c r="I73" s="101" t="str">
        <f>IF(B73="","",VLOOKUP(A73,Journal!$B$7:$M$83,12))</f>
        <v/>
      </c>
      <c r="J73" s="127">
        <f>IF(B73="Total",SUM(J$8:J72)+0.0001,IF(OR(B73="",I$2=I73),0,VLOOKUP(A73,Journal!$B$7:M$83,8)))</f>
        <v>0</v>
      </c>
      <c r="K73" s="127">
        <f>IF(B73="Total",SUM(K$8:K72)+0.0001,IF(OR(B73="",J73&lt;&gt;0),0,VLOOKUP(A73,Journal!$B$7:M$83,8)))</f>
        <v>0</v>
      </c>
      <c r="L73" s="104">
        <f t="shared" si="7"/>
        <v>0</v>
      </c>
      <c r="M73" s="128"/>
      <c r="P73">
        <f t="shared" si="2"/>
        <v>1.0000000000000001E-5</v>
      </c>
      <c r="R73" s="13">
        <f t="shared" si="3"/>
        <v>66</v>
      </c>
      <c r="S73" s="152">
        <f>IF(VLOOKUP(A73,Journal!$A$7:$E$80,5)=0,S72+1,VLOOKUP(A73,Journal!$A$7:$E$80,5))</f>
        <v>45723</v>
      </c>
      <c r="T73" s="151">
        <f>IF(H$2=VLOOKUP(A73,Journal!$A$7:$F$80,6),VLOOKUP(A73,Journal!$A$7:M$80,9),0)</f>
        <v>0</v>
      </c>
      <c r="U73" s="151">
        <f>IF(H$2=VLOOKUP(A73,Journal!$A$7:$G$80,7),VLOOKUP(A73,Journal!$A$7:M$80,9),0)</f>
        <v>0</v>
      </c>
      <c r="V73" s="151">
        <f t="shared" si="4"/>
        <v>40</v>
      </c>
      <c r="X73">
        <f t="shared" ref="X73:X92" si="9">IF(J$2&gt;S73,1,0)</f>
        <v>0</v>
      </c>
      <c r="Y73" s="171">
        <f t="shared" si="8"/>
        <v>-998.34210526316053</v>
      </c>
    </row>
    <row r="74" spans="1:25">
      <c r="A74">
        <f t="shared" si="5"/>
        <v>67</v>
      </c>
      <c r="B74" s="105" t="str">
        <f>IF(OR(B73="Total",B73=""),"",IF(VLOOKUP(A74,Journal!$B$7:$E$83,4)=0,"Total",VLOOKUP(A74,Journal!$B$7:$D$83,3)))</f>
        <v/>
      </c>
      <c r="C74" s="103" t="str">
        <f>IF(B74="","",VLOOKUP(A74,Journal!$B$7:$E$83,4))</f>
        <v/>
      </c>
      <c r="D74" s="137" t="str">
        <f>IF(B74="","",VLOOKUP(A74,Journal!$B$7:$J$83,9))</f>
        <v/>
      </c>
      <c r="E74" s="139"/>
      <c r="F74" s="139"/>
      <c r="G74" s="138"/>
      <c r="H74" s="106" t="str">
        <f>IF(B74="","",VLOOKUP(A74,Journal!$B$7:$L$83,11))</f>
        <v/>
      </c>
      <c r="I74" s="101" t="str">
        <f>IF(B74="","",VLOOKUP(A74,Journal!$B$7:$M$83,12))</f>
        <v/>
      </c>
      <c r="J74" s="127">
        <f>IF(B74="Total",SUM(J$8:J73)+0.0001,IF(OR(B74="",I$2=I74),0,VLOOKUP(A74,Journal!$B$7:M$83,8)))</f>
        <v>0</v>
      </c>
      <c r="K74" s="127">
        <f>IF(B74="Total",SUM(K$8:K73)+0.0001,IF(OR(B74="",J74&lt;&gt;0),0,VLOOKUP(A74,Journal!$B$7:M$83,8)))</f>
        <v>0</v>
      </c>
      <c r="L74" s="104">
        <f t="shared" si="7"/>
        <v>0</v>
      </c>
      <c r="M74" s="128"/>
      <c r="P74">
        <f t="shared" ref="P74:P92" si="10">IF(L73=L74,L73+0.00001,L74)</f>
        <v>1.0000000000000001E-5</v>
      </c>
      <c r="R74" s="13">
        <f t="shared" ref="R74:R97" si="11">R73+1</f>
        <v>67</v>
      </c>
      <c r="S74" s="152">
        <f>IF(VLOOKUP(A74,Journal!$A$7:$E$80,5)=0,S73+1,VLOOKUP(A74,Journal!$A$7:$E$80,5))</f>
        <v>45724</v>
      </c>
      <c r="T74" s="151">
        <f>IF(H$2=VLOOKUP(A74,Journal!$A$7:$F$80,6),VLOOKUP(A74,Journal!$A$7:M$80,9),0)</f>
        <v>0</v>
      </c>
      <c r="U74" s="151">
        <f>IF(H$2=VLOOKUP(A74,Journal!$A$7:$G$80,7),VLOOKUP(A74,Journal!$A$7:M$80,9),0)</f>
        <v>0</v>
      </c>
      <c r="V74" s="151">
        <f t="shared" ref="V74:V92" si="12">IF($M$1=1,V73+T74-U74,V73-T74+U74)</f>
        <v>40</v>
      </c>
      <c r="X74">
        <f t="shared" si="9"/>
        <v>0</v>
      </c>
      <c r="Y74" s="171">
        <f t="shared" si="8"/>
        <v>-998.31578947368689</v>
      </c>
    </row>
    <row r="75" spans="1:25">
      <c r="A75">
        <f t="shared" ref="A75:A93" si="13">A74+1</f>
        <v>68</v>
      </c>
      <c r="B75" s="105" t="str">
        <f>IF(OR(B74="Total",B74=""),"",IF(VLOOKUP(A75,Journal!$B$7:$E$83,4)=0,"Total",VLOOKUP(A75,Journal!$B$7:$D$83,3)))</f>
        <v/>
      </c>
      <c r="C75" s="103" t="str">
        <f>IF(B75="","",VLOOKUP(A75,Journal!$B$7:$E$83,4))</f>
        <v/>
      </c>
      <c r="D75" s="137" t="str">
        <f>IF(B75="","",VLOOKUP(A75,Journal!$B$7:$J$83,9))</f>
        <v/>
      </c>
      <c r="E75" s="139"/>
      <c r="F75" s="139"/>
      <c r="G75" s="138"/>
      <c r="H75" s="106" t="str">
        <f>IF(B75="","",VLOOKUP(A75,Journal!$B$7:$L$83,11))</f>
        <v/>
      </c>
      <c r="I75" s="101" t="str">
        <f>IF(B75="","",VLOOKUP(A75,Journal!$B$7:$M$83,12))</f>
        <v/>
      </c>
      <c r="J75" s="127">
        <f>IF(B75="Total",SUM(J$8:J74)+0.0001,IF(OR(B75="",I$2=I75),0,VLOOKUP(A75,Journal!$B$7:M$83,8)))</f>
        <v>0</v>
      </c>
      <c r="K75" s="127">
        <f>IF(B75="Total",SUM(K$8:K74)+0.0001,IF(OR(B75="",J75&lt;&gt;0),0,VLOOKUP(A75,Journal!$B$7:M$83,8)))</f>
        <v>0</v>
      </c>
      <c r="L75" s="104">
        <f t="shared" si="7"/>
        <v>0</v>
      </c>
      <c r="M75" s="128"/>
      <c r="P75">
        <f t="shared" si="10"/>
        <v>1.0000000000000001E-5</v>
      </c>
      <c r="R75" s="13">
        <f t="shared" si="11"/>
        <v>68</v>
      </c>
      <c r="S75" s="152">
        <f>IF(VLOOKUP(A75,Journal!$A$7:$E$80,5)=0,S74+1,VLOOKUP(A75,Journal!$A$7:$E$80,5))</f>
        <v>45725</v>
      </c>
      <c r="T75" s="151">
        <f>IF(H$2=VLOOKUP(A75,Journal!$A$7:$F$80,6),VLOOKUP(A75,Journal!$A$7:M$80,9),0)</f>
        <v>0</v>
      </c>
      <c r="U75" s="151">
        <f>IF(H$2=VLOOKUP(A75,Journal!$A$7:$G$80,7),VLOOKUP(A75,Journal!$A$7:M$80,9),0)</f>
        <v>0</v>
      </c>
      <c r="V75" s="151">
        <f t="shared" si="12"/>
        <v>40</v>
      </c>
      <c r="X75">
        <f t="shared" si="9"/>
        <v>0</v>
      </c>
      <c r="Y75" s="171">
        <f t="shared" si="8"/>
        <v>-998.28947368421325</v>
      </c>
    </row>
    <row r="76" spans="1:25">
      <c r="A76">
        <f t="shared" si="13"/>
        <v>69</v>
      </c>
      <c r="B76" s="105" t="str">
        <f>IF(OR(B75="Total",B75=""),"",IF(VLOOKUP(A76,Journal!$B$7:$E$83,4)=0,"Total",VLOOKUP(A76,Journal!$B$7:$D$83,3)))</f>
        <v/>
      </c>
      <c r="C76" s="103" t="str">
        <f>IF(B76="","",VLOOKUP(A76,Journal!$B$7:$E$83,4))</f>
        <v/>
      </c>
      <c r="D76" s="137" t="str">
        <f>IF(B76="","",VLOOKUP(A76,Journal!$B$7:$J$83,9))</f>
        <v/>
      </c>
      <c r="E76" s="139"/>
      <c r="F76" s="139"/>
      <c r="G76" s="138"/>
      <c r="H76" s="106" t="str">
        <f>IF(B76="","",VLOOKUP(A76,Journal!$B$7:$L$83,11))</f>
        <v/>
      </c>
      <c r="I76" s="101" t="str">
        <f>IF(B76="","",VLOOKUP(A76,Journal!$B$7:$M$83,12))</f>
        <v/>
      </c>
      <c r="J76" s="127">
        <f>IF(B76="Total",SUM(J$8:J75)+0.0001,IF(OR(B76="",I$2=I76),0,VLOOKUP(A76,Journal!$B$7:M$83,8)))</f>
        <v>0</v>
      </c>
      <c r="K76" s="127">
        <f>IF(B76="Total",SUM(K$8:K75)+0.0001,IF(OR(B76="",J76&lt;&gt;0),0,VLOOKUP(A76,Journal!$B$7:M$83,8)))</f>
        <v>0</v>
      </c>
      <c r="L76" s="104">
        <f t="shared" si="7"/>
        <v>0</v>
      </c>
      <c r="M76" s="128"/>
      <c r="P76">
        <f t="shared" si="10"/>
        <v>1.0000000000000001E-5</v>
      </c>
      <c r="R76" s="13">
        <f t="shared" si="11"/>
        <v>69</v>
      </c>
      <c r="S76" s="152">
        <f>IF(VLOOKUP(A76,Journal!$A$7:$E$80,5)=0,S75+1,VLOOKUP(A76,Journal!$A$7:$E$80,5))</f>
        <v>45726</v>
      </c>
      <c r="T76" s="151">
        <f>IF(H$2=VLOOKUP(A76,Journal!$A$7:$F$80,6),VLOOKUP(A76,Journal!$A$7:M$80,9),0)</f>
        <v>0</v>
      </c>
      <c r="U76" s="151">
        <f>IF(H$2=VLOOKUP(A76,Journal!$A$7:$G$80,7),VLOOKUP(A76,Journal!$A$7:M$80,9),0)</f>
        <v>0</v>
      </c>
      <c r="V76" s="151">
        <f t="shared" si="12"/>
        <v>40</v>
      </c>
      <c r="X76">
        <f t="shared" si="9"/>
        <v>0</v>
      </c>
      <c r="Y76" s="171">
        <f t="shared" si="8"/>
        <v>-998.26315789473961</v>
      </c>
    </row>
    <row r="77" spans="1:25">
      <c r="A77">
        <f t="shared" si="13"/>
        <v>70</v>
      </c>
      <c r="B77" s="105" t="str">
        <f>IF(OR(B76="Total",B76=""),"",IF(VLOOKUP(A77,Journal!$B$7:$E$83,4)=0,"Total",VLOOKUP(A77,Journal!$B$7:$D$83,3)))</f>
        <v/>
      </c>
      <c r="C77" s="103" t="str">
        <f>IF(B77="","",VLOOKUP(A77,Journal!$B$7:$E$83,4))</f>
        <v/>
      </c>
      <c r="D77" s="137" t="str">
        <f>IF(B77="","",VLOOKUP(A77,Journal!$B$7:$J$83,9))</f>
        <v/>
      </c>
      <c r="E77" s="139"/>
      <c r="F77" s="139"/>
      <c r="G77" s="138"/>
      <c r="H77" s="106" t="str">
        <f>IF(B77="","",VLOOKUP(A77,Journal!$B$7:$L$83,11))</f>
        <v/>
      </c>
      <c r="I77" s="101" t="str">
        <f>IF(B77="","",VLOOKUP(A77,Journal!$B$7:$M$83,12))</f>
        <v/>
      </c>
      <c r="J77" s="127">
        <f>IF(B77="Total",SUM(J$8:J76)+0.0001,IF(OR(B77="",I$2=I77),0,VLOOKUP(A77,Journal!$B$7:M$83,8)))</f>
        <v>0</v>
      </c>
      <c r="K77" s="127">
        <f>IF(B77="Total",SUM(K$8:K76)+0.0001,IF(OR(B77="",J77&lt;&gt;0),0,VLOOKUP(A77,Journal!$B$7:M$83,8)))</f>
        <v>0</v>
      </c>
      <c r="L77" s="104">
        <f t="shared" si="7"/>
        <v>0</v>
      </c>
      <c r="M77" s="128"/>
      <c r="P77">
        <f t="shared" si="10"/>
        <v>1.0000000000000001E-5</v>
      </c>
      <c r="R77" s="13">
        <f t="shared" si="11"/>
        <v>70</v>
      </c>
      <c r="S77" s="152">
        <f>IF(VLOOKUP(A77,Journal!$A$7:$E$80,5)=0,S76+1,VLOOKUP(A77,Journal!$A$7:$E$80,5))</f>
        <v>45727</v>
      </c>
      <c r="T77" s="151">
        <f>IF(H$2=VLOOKUP(A77,Journal!$A$7:$F$80,6),VLOOKUP(A77,Journal!$A$7:M$80,9),0)</f>
        <v>0</v>
      </c>
      <c r="U77" s="151">
        <f>IF(H$2=VLOOKUP(A77,Journal!$A$7:$G$80,7),VLOOKUP(A77,Journal!$A$7:M$80,9),0)</f>
        <v>0</v>
      </c>
      <c r="V77" s="151">
        <f t="shared" si="12"/>
        <v>40</v>
      </c>
      <c r="X77">
        <f t="shared" si="9"/>
        <v>0</v>
      </c>
      <c r="Y77" s="171">
        <f t="shared" si="8"/>
        <v>-998.23684210526596</v>
      </c>
    </row>
    <row r="78" spans="1:25">
      <c r="A78">
        <f t="shared" si="13"/>
        <v>71</v>
      </c>
      <c r="B78" s="105" t="str">
        <f>IF(OR(B77="Total",B77=""),"",IF(VLOOKUP(A78,Journal!$B$7:$E$83,4)=0,"Total",VLOOKUP(A78,Journal!$B$7:$D$83,3)))</f>
        <v/>
      </c>
      <c r="C78" s="103" t="str">
        <f>IF(B78="","",VLOOKUP(A78,Journal!$B$7:$E$83,4))</f>
        <v/>
      </c>
      <c r="D78" s="137" t="str">
        <f>IF(B78="","",VLOOKUP(A78,Journal!$B$7:$J$83,9))</f>
        <v/>
      </c>
      <c r="E78" s="139"/>
      <c r="F78" s="139"/>
      <c r="G78" s="138"/>
      <c r="H78" s="106" t="str">
        <f>IF(B78="","",VLOOKUP(A78,Journal!$B$7:$L$83,11))</f>
        <v/>
      </c>
      <c r="I78" s="101" t="str">
        <f>IF(B78="","",VLOOKUP(A78,Journal!$B$7:$M$83,12))</f>
        <v/>
      </c>
      <c r="J78" s="127">
        <f>IF(B78="Total",SUM(J$8:J77)+0.0001,IF(OR(B78="",I$2=I78),0,VLOOKUP(A78,Journal!$B$7:M$83,8)))</f>
        <v>0</v>
      </c>
      <c r="K78" s="127">
        <f>IF(B78="Total",SUM(K$8:K77)+0.0001,IF(OR(B78="",J78&lt;&gt;0),0,VLOOKUP(A78,Journal!$B$7:M$83,8)))</f>
        <v>0</v>
      </c>
      <c r="L78" s="104">
        <f t="shared" si="7"/>
        <v>0</v>
      </c>
      <c r="M78" s="128"/>
      <c r="P78">
        <f t="shared" si="10"/>
        <v>1.0000000000000001E-5</v>
      </c>
      <c r="R78" s="13">
        <f t="shared" si="11"/>
        <v>71</v>
      </c>
      <c r="S78" s="152">
        <f>IF(VLOOKUP(A78,Journal!$A$7:$E$80,5)=0,S77+1,VLOOKUP(A78,Journal!$A$7:$E$80,5))</f>
        <v>45728</v>
      </c>
      <c r="T78" s="151">
        <f>IF(H$2=VLOOKUP(A78,Journal!$A$7:$F$80,6),VLOOKUP(A78,Journal!$A$7:M$80,9),0)</f>
        <v>0</v>
      </c>
      <c r="U78" s="151">
        <f>IF(H$2=VLOOKUP(A78,Journal!$A$7:$G$80,7),VLOOKUP(A78,Journal!$A$7:M$80,9),0)</f>
        <v>0</v>
      </c>
      <c r="V78" s="151">
        <f t="shared" si="12"/>
        <v>40</v>
      </c>
      <c r="X78">
        <f t="shared" si="9"/>
        <v>0</v>
      </c>
      <c r="Y78" s="171">
        <f t="shared" si="8"/>
        <v>-998.21052631579232</v>
      </c>
    </row>
    <row r="79" spans="1:25">
      <c r="A79">
        <f t="shared" si="13"/>
        <v>72</v>
      </c>
      <c r="B79" s="105" t="str">
        <f>IF(OR(B78="Total",B78=""),"",IF(VLOOKUP(A79,Journal!$B$7:$E$83,4)=0,"Total",VLOOKUP(A79,Journal!$B$7:$D$83,3)))</f>
        <v/>
      </c>
      <c r="C79" s="103" t="str">
        <f>IF(B79="","",VLOOKUP(A79,Journal!$B$7:$E$83,4))</f>
        <v/>
      </c>
      <c r="D79" s="137" t="str">
        <f>IF(B79="","",VLOOKUP(A79,Journal!$B$7:$J$83,9))</f>
        <v/>
      </c>
      <c r="E79" s="139"/>
      <c r="F79" s="139"/>
      <c r="G79" s="138"/>
      <c r="H79" s="106" t="str">
        <f>IF(B79="","",VLOOKUP(A79,Journal!$B$7:$L$83,11))</f>
        <v/>
      </c>
      <c r="I79" s="101" t="str">
        <f>IF(B79="","",VLOOKUP(A79,Journal!$B$7:$M$83,12))</f>
        <v/>
      </c>
      <c r="J79" s="127">
        <f>IF(B79="Total",SUM(J$8:J78)+0.0001,IF(OR(B79="",I$2=I79),0,VLOOKUP(A79,Journal!$B$7:M$83,8)))</f>
        <v>0</v>
      </c>
      <c r="K79" s="127">
        <f>IF(B79="Total",SUM(K$8:K78)+0.0001,IF(OR(B79="",J79&lt;&gt;0),0,VLOOKUP(A79,Journal!$B$7:M$83,8)))</f>
        <v>0</v>
      </c>
      <c r="L79" s="104">
        <f t="shared" si="7"/>
        <v>0</v>
      </c>
      <c r="M79" s="128"/>
      <c r="P79">
        <f t="shared" si="10"/>
        <v>1.0000000000000001E-5</v>
      </c>
      <c r="R79" s="13">
        <f t="shared" si="11"/>
        <v>72</v>
      </c>
      <c r="S79" s="152">
        <f>IF(VLOOKUP(A79,Journal!$A$7:$E$80,5)=0,S78+1,VLOOKUP(A79,Journal!$A$7:$E$80,5))</f>
        <v>45729</v>
      </c>
      <c r="T79" s="151">
        <f>IF(H$2=VLOOKUP(A79,Journal!$A$7:$F$80,6),VLOOKUP(A79,Journal!$A$7:M$80,9),0)</f>
        <v>0</v>
      </c>
      <c r="U79" s="151">
        <f>IF(H$2=VLOOKUP(A79,Journal!$A$7:$G$80,7),VLOOKUP(A79,Journal!$A$7:M$80,9),0)</f>
        <v>0</v>
      </c>
      <c r="V79" s="151">
        <f t="shared" si="12"/>
        <v>40</v>
      </c>
      <c r="X79">
        <f t="shared" si="9"/>
        <v>0</v>
      </c>
      <c r="Y79" s="171">
        <f t="shared" si="8"/>
        <v>-998.18421052631868</v>
      </c>
    </row>
    <row r="80" spans="1:25">
      <c r="A80">
        <f t="shared" si="13"/>
        <v>73</v>
      </c>
      <c r="B80" s="105" t="str">
        <f>IF(OR(B79="Total",B79=""),"",IF(VLOOKUP(A80,Journal!$B$7:$E$83,4)=0,"Total",VLOOKUP(A80,Journal!$B$7:$D$83,3)))</f>
        <v/>
      </c>
      <c r="C80" s="103" t="str">
        <f>IF(B80="","",VLOOKUP(A80,Journal!$B$7:$E$83,4))</f>
        <v/>
      </c>
      <c r="D80" s="137" t="str">
        <f>IF(B80="","",VLOOKUP(A80,Journal!$B$7:$J$83,9))</f>
        <v/>
      </c>
      <c r="E80" s="139"/>
      <c r="F80" s="139"/>
      <c r="G80" s="138"/>
      <c r="H80" s="106" t="str">
        <f>IF(B80="","",VLOOKUP(A80,Journal!$B$7:$L$83,11))</f>
        <v/>
      </c>
      <c r="I80" s="101" t="str">
        <f>IF(B80="","",VLOOKUP(A80,Journal!$B$7:$M$83,12))</f>
        <v/>
      </c>
      <c r="J80" s="127">
        <f>IF(B80="Total",SUM(J$8:J79)+0.0001,IF(OR(B80="",I$2=I80),0,VLOOKUP(A80,Journal!$B$7:M$83,8)))</f>
        <v>0</v>
      </c>
      <c r="K80" s="127">
        <f>IF(B80="Total",SUM(K$8:K79)+0.0001,IF(OR(B80="",J80&lt;&gt;0),0,VLOOKUP(A80,Journal!$B$7:M$83,8)))</f>
        <v>0</v>
      </c>
      <c r="L80" s="104">
        <f t="shared" si="7"/>
        <v>0</v>
      </c>
      <c r="M80" s="128"/>
      <c r="P80">
        <f t="shared" si="10"/>
        <v>1.0000000000000001E-5</v>
      </c>
      <c r="R80" s="13">
        <f t="shared" si="11"/>
        <v>73</v>
      </c>
      <c r="S80" s="152">
        <f>IF(VLOOKUP(A80,Journal!$A$7:$E$80,5)=0,S79+1,VLOOKUP(A80,Journal!$A$7:$E$80,5))</f>
        <v>45730</v>
      </c>
      <c r="T80" s="151">
        <f>IF(H$2=VLOOKUP(A80,Journal!$A$7:$F$80,6),VLOOKUP(A80,Journal!$A$7:M$80,9),0)</f>
        <v>0</v>
      </c>
      <c r="U80" s="151">
        <f>IF(H$2=VLOOKUP(A80,Journal!$A$7:$G$80,7),VLOOKUP(A80,Journal!$A$7:M$80,9),0)</f>
        <v>0</v>
      </c>
      <c r="V80" s="151">
        <f t="shared" si="12"/>
        <v>40</v>
      </c>
      <c r="X80">
        <f t="shared" si="9"/>
        <v>0</v>
      </c>
      <c r="Y80" s="171">
        <f t="shared" si="8"/>
        <v>-998.15789473684504</v>
      </c>
    </row>
    <row r="81" spans="1:25">
      <c r="A81">
        <f t="shared" si="13"/>
        <v>74</v>
      </c>
      <c r="B81" s="105" t="str">
        <f>IF(OR(B80="Total",B80=""),"",IF(VLOOKUP(A81,Journal!$B$7:$E$83,4)=0,"Total",VLOOKUP(A81,Journal!$B$7:$D$83,3)))</f>
        <v/>
      </c>
      <c r="C81" s="103" t="str">
        <f>IF(B81="","",VLOOKUP(A81,Journal!$B$7:$E$83,4))</f>
        <v/>
      </c>
      <c r="D81" s="137" t="str">
        <f>IF(B81="","",VLOOKUP(A81,Journal!$B$7:$J$83,9))</f>
        <v/>
      </c>
      <c r="E81" s="139"/>
      <c r="F81" s="139"/>
      <c r="G81" s="138"/>
      <c r="H81" s="106" t="str">
        <f>IF(B81="","",VLOOKUP(A81,Journal!$B$7:$L$83,11))</f>
        <v/>
      </c>
      <c r="I81" s="101" t="str">
        <f>IF(B81="","",VLOOKUP(A81,Journal!$B$7:$M$83,12))</f>
        <v/>
      </c>
      <c r="J81" s="127">
        <f>IF(B81="Total",SUM(J$8:J80)+0.0001,IF(OR(B81="",I$2=I81),0,VLOOKUP(A81,Journal!$B$7:M$83,8)))</f>
        <v>0</v>
      </c>
      <c r="K81" s="127">
        <f>IF(B81="Total",SUM(K$8:K80)+0.0001,IF(OR(B81="",J81&lt;&gt;0),0,VLOOKUP(A81,Journal!$B$7:M$83,8)))</f>
        <v>0</v>
      </c>
      <c r="L81" s="104">
        <f t="shared" si="7"/>
        <v>0</v>
      </c>
      <c r="M81" s="128"/>
      <c r="P81">
        <f t="shared" si="10"/>
        <v>1.0000000000000001E-5</v>
      </c>
      <c r="R81" s="13">
        <f t="shared" si="11"/>
        <v>74</v>
      </c>
      <c r="S81" s="152">
        <f>IF(VLOOKUP(A81,Journal!$A$7:$E$80,5)=0,S80+1,VLOOKUP(A81,Journal!$A$7:$E$80,5))</f>
        <v>45731</v>
      </c>
      <c r="T81" s="151">
        <f>IF(H$2=VLOOKUP(A81,Journal!$A$7:$F$80,6),VLOOKUP(A81,Journal!$A$7:M$80,9),0)</f>
        <v>0</v>
      </c>
      <c r="U81" s="151">
        <f>IF(H$2=VLOOKUP(A81,Journal!$A$7:$G$80,7),VLOOKUP(A81,Journal!$A$7:M$80,9),0)</f>
        <v>0</v>
      </c>
      <c r="V81" s="151">
        <f t="shared" si="12"/>
        <v>40</v>
      </c>
      <c r="X81">
        <f t="shared" si="9"/>
        <v>0</v>
      </c>
      <c r="Y81" s="171">
        <f t="shared" si="8"/>
        <v>-998.13157894737139</v>
      </c>
    </row>
    <row r="82" spans="1:25">
      <c r="A82">
        <f t="shared" si="13"/>
        <v>75</v>
      </c>
      <c r="B82" s="105" t="str">
        <f>IF(OR(B81="Total",B81=""),"",IF(VLOOKUP(A82,Journal!$B$7:$E$83,4)=0,"Total",VLOOKUP(A82,Journal!$B$7:$D$83,3)))</f>
        <v/>
      </c>
      <c r="C82" s="103" t="str">
        <f>IF(B82="","",VLOOKUP(A82,Journal!$B$7:$E$83,4))</f>
        <v/>
      </c>
      <c r="D82" s="137" t="str">
        <f>IF(B82="","",VLOOKUP(A82,Journal!$B$7:$J$83,9))</f>
        <v/>
      </c>
      <c r="E82" s="139"/>
      <c r="F82" s="139"/>
      <c r="G82" s="138"/>
      <c r="H82" s="106" t="str">
        <f>IF(B82="","",VLOOKUP(A82,Journal!$B$7:$L$83,11))</f>
        <v/>
      </c>
      <c r="I82" s="101" t="str">
        <f>IF(B82="","",VLOOKUP(A82,Journal!$B$7:$M$83,12))</f>
        <v/>
      </c>
      <c r="J82" s="127">
        <f>IF(B82="Total",SUM(J$8:J81)+0.0001,IF(OR(B82="",I$2=I82),0,VLOOKUP(A82,Journal!$B$7:M$83,8)))</f>
        <v>0</v>
      </c>
      <c r="K82" s="127">
        <f>IF(B82="Total",SUM(K$8:K81)+0.0001,IF(OR(B82="",J82&lt;&gt;0),0,VLOOKUP(A82,Journal!$B$7:M$83,8)))</f>
        <v>0</v>
      </c>
      <c r="L82" s="104">
        <f t="shared" si="7"/>
        <v>0</v>
      </c>
      <c r="M82" s="128"/>
      <c r="P82">
        <f t="shared" si="10"/>
        <v>1.0000000000000001E-5</v>
      </c>
      <c r="R82" s="13">
        <f t="shared" si="11"/>
        <v>75</v>
      </c>
      <c r="S82" s="152">
        <f>IF(VLOOKUP(A82,Journal!$A$7:$E$80,5)=0,S81+1,VLOOKUP(A82,Journal!$A$7:$E$80,5))</f>
        <v>45732</v>
      </c>
      <c r="T82" s="151">
        <f>IF(H$2=VLOOKUP(A82,Journal!$A$7:$F$80,6),VLOOKUP(A82,Journal!$A$7:M$80,9),0)</f>
        <v>0</v>
      </c>
      <c r="U82" s="151">
        <f>IF(H$2=VLOOKUP(A82,Journal!$A$7:$G$80,7),VLOOKUP(A82,Journal!$A$7:M$80,9),0)</f>
        <v>0</v>
      </c>
      <c r="V82" s="151">
        <f t="shared" si="12"/>
        <v>40</v>
      </c>
      <c r="X82">
        <f t="shared" si="9"/>
        <v>0</v>
      </c>
      <c r="Y82" s="171">
        <f t="shared" si="8"/>
        <v>-998.10526315789775</v>
      </c>
    </row>
    <row r="83" spans="1:25">
      <c r="A83">
        <f t="shared" si="13"/>
        <v>76</v>
      </c>
      <c r="B83" s="105" t="str">
        <f>IF(OR(B82="Total",B82=""),"",IF(VLOOKUP(A83,Journal!$B$7:$E$83,4)=0,"Total",VLOOKUP(A83,Journal!$B$7:$D$83,3)))</f>
        <v/>
      </c>
      <c r="C83" s="103" t="str">
        <f>IF(B83="","",VLOOKUP(A83,Journal!$B$7:$E$83,4))</f>
        <v/>
      </c>
      <c r="D83" s="137" t="str">
        <f>IF(B83="","",VLOOKUP(A83,Journal!$B$7:$J$83,9))</f>
        <v/>
      </c>
      <c r="E83" s="139"/>
      <c r="F83" s="139"/>
      <c r="G83" s="138"/>
      <c r="H83" s="106" t="str">
        <f>IF(B83="","",VLOOKUP(A83,Journal!$B$7:$L$83,11))</f>
        <v/>
      </c>
      <c r="I83" s="101" t="str">
        <f>IF(B83="","",VLOOKUP(A83,Journal!$B$7:$M$83,12))</f>
        <v/>
      </c>
      <c r="J83" s="127">
        <f>IF(B83="Total",SUM(J$8:J82)+0.0001,IF(OR(B83="",I$2=I83),0,VLOOKUP(A83,Journal!$B$7:M$83,8)))</f>
        <v>0</v>
      </c>
      <c r="K83" s="127">
        <f>IF(B83="Total",SUM(K$8:K82)+0.0001,IF(OR(B83="",J83&lt;&gt;0),0,VLOOKUP(A83,Journal!$B$7:M$83,8)))</f>
        <v>0</v>
      </c>
      <c r="L83" s="104">
        <f t="shared" si="7"/>
        <v>0</v>
      </c>
      <c r="M83" s="128"/>
      <c r="P83">
        <f t="shared" si="10"/>
        <v>1.0000000000000001E-5</v>
      </c>
      <c r="R83" s="13">
        <f t="shared" si="11"/>
        <v>76</v>
      </c>
      <c r="S83" s="152">
        <f>IF(VLOOKUP(A83,Journal!$A$7:$E$80,5)=0,S82+1,VLOOKUP(A83,Journal!$A$7:$E$80,5))</f>
        <v>45733</v>
      </c>
      <c r="T83" s="151">
        <f>IF(H$2=VLOOKUP(A83,Journal!$A$7:$F$80,6),VLOOKUP(A83,Journal!$A$7:M$80,9),0)</f>
        <v>0</v>
      </c>
      <c r="U83" s="151">
        <f>IF(H$2=VLOOKUP(A83,Journal!$A$7:$G$80,7),VLOOKUP(A83,Journal!$A$7:M$80,9),0)</f>
        <v>0</v>
      </c>
      <c r="V83" s="151">
        <f t="shared" si="12"/>
        <v>40</v>
      </c>
      <c r="X83">
        <f t="shared" si="9"/>
        <v>0</v>
      </c>
      <c r="Y83" s="171">
        <f t="shared" si="8"/>
        <v>-998.07894736842411</v>
      </c>
    </row>
    <row r="84" spans="1:25">
      <c r="A84">
        <f t="shared" si="13"/>
        <v>77</v>
      </c>
      <c r="B84" s="105" t="str">
        <f>IF(OR(B83="Total",B83=""),"",IF(VLOOKUP(A84,Journal!$B$7:$E$83,4)=0,"Total",VLOOKUP(A84,Journal!$B$7:$D$83,3)))</f>
        <v/>
      </c>
      <c r="C84" s="103" t="str">
        <f>IF(B84="","",VLOOKUP(A84,Journal!$B$7:$E$83,4))</f>
        <v/>
      </c>
      <c r="D84" s="137" t="str">
        <f>IF(B84="","",VLOOKUP(A84,Journal!$B$7:$J$83,9))</f>
        <v/>
      </c>
      <c r="E84" s="139"/>
      <c r="F84" s="139"/>
      <c r="G84" s="138"/>
      <c r="H84" s="106" t="str">
        <f>IF(B84="","",VLOOKUP(A84,Journal!$B$7:$L$83,11))</f>
        <v/>
      </c>
      <c r="I84" s="101" t="str">
        <f>IF(B84="","",VLOOKUP(A84,Journal!$B$7:$M$83,12))</f>
        <v/>
      </c>
      <c r="J84" s="127">
        <f>IF(B84="Total",SUM(J$8:J83)+0.0001,IF(OR(B84="",I$2=I84),0,VLOOKUP(A84,Journal!$B$7:M$83,8)))</f>
        <v>0</v>
      </c>
      <c r="K84" s="127">
        <f>IF(B84="Total",SUM(K$8:K83)+0.0001,IF(OR(B84="",J84&lt;&gt;0),0,VLOOKUP(A84,Journal!$B$7:M$83,8)))</f>
        <v>0</v>
      </c>
      <c r="L84" s="104">
        <f t="shared" si="7"/>
        <v>0</v>
      </c>
      <c r="M84" s="128"/>
      <c r="P84">
        <f t="shared" si="10"/>
        <v>1.0000000000000001E-5</v>
      </c>
      <c r="R84" s="13">
        <f t="shared" si="11"/>
        <v>77</v>
      </c>
      <c r="S84" s="152">
        <f>IF(VLOOKUP(A84,Journal!$A$7:$E$80,5)=0,S83+1,VLOOKUP(A84,Journal!$A$7:$E$80,5))</f>
        <v>45734</v>
      </c>
      <c r="T84" s="151">
        <f>IF(H$2=VLOOKUP(A84,Journal!$A$7:$F$80,6),VLOOKUP(A84,Journal!$A$7:M$80,9),0)</f>
        <v>0</v>
      </c>
      <c r="U84" s="151">
        <f>IF(H$2=VLOOKUP(A84,Journal!$A$7:$G$80,7),VLOOKUP(A84,Journal!$A$7:M$80,9),0)</f>
        <v>0</v>
      </c>
      <c r="V84" s="151">
        <f t="shared" si="12"/>
        <v>40</v>
      </c>
      <c r="X84">
        <f t="shared" si="9"/>
        <v>0</v>
      </c>
      <c r="Y84" s="171">
        <f t="shared" si="8"/>
        <v>-998.05263157895047</v>
      </c>
    </row>
    <row r="85" spans="1:25">
      <c r="A85">
        <f t="shared" si="13"/>
        <v>78</v>
      </c>
      <c r="B85" s="105" t="str">
        <f>IF(OR(B84="Total",B84=""),"",IF(VLOOKUP(A85,Journal!$B$7:$E$83,4)=0,"Total",VLOOKUP(A85,Journal!$B$7:$D$83,3)))</f>
        <v/>
      </c>
      <c r="C85" s="103" t="str">
        <f>IF(B85="","",VLOOKUP(A85,Journal!$B$7:$E$83,4))</f>
        <v/>
      </c>
      <c r="D85" s="137" t="str">
        <f>IF(B85="","",VLOOKUP(A85,Journal!$B$7:$J$83,9))</f>
        <v/>
      </c>
      <c r="E85" s="139"/>
      <c r="F85" s="139"/>
      <c r="G85" s="138"/>
      <c r="H85" s="106" t="str">
        <f>IF(B85="","",VLOOKUP(A85,Journal!$B$7:$L$83,11))</f>
        <v/>
      </c>
      <c r="I85" s="101" t="str">
        <f>IF(B85="","",VLOOKUP(A85,Journal!$B$7:$M$83,12))</f>
        <v/>
      </c>
      <c r="J85" s="127">
        <f>IF(B85="Total",SUM(J$8:J84)+0.0001,IF(OR(B85="",I$2=I85),0,VLOOKUP(A85,Journal!$B$7:M$83,8)))</f>
        <v>0</v>
      </c>
      <c r="K85" s="127">
        <f>IF(B85="Total",SUM(K$8:K84)+0.0001,IF(OR(B85="",J85&lt;&gt;0),0,VLOOKUP(A85,Journal!$B$7:M$83,8)))</f>
        <v>0</v>
      </c>
      <c r="L85" s="104">
        <f t="shared" si="7"/>
        <v>0</v>
      </c>
      <c r="M85" s="128"/>
      <c r="P85">
        <f t="shared" si="10"/>
        <v>1.0000000000000001E-5</v>
      </c>
      <c r="R85" s="13">
        <f t="shared" si="11"/>
        <v>78</v>
      </c>
      <c r="S85" s="152">
        <f>IF(VLOOKUP(A85,Journal!$A$7:$E$80,5)=0,S84+1,VLOOKUP(A85,Journal!$A$7:$E$80,5))</f>
        <v>45735</v>
      </c>
      <c r="T85" s="151">
        <f>IF(H$2=VLOOKUP(A85,Journal!$A$7:$F$80,6),VLOOKUP(A85,Journal!$A$7:M$80,9),0)</f>
        <v>0</v>
      </c>
      <c r="U85" s="151">
        <f>IF(H$2=VLOOKUP(A85,Journal!$A$7:$G$80,7),VLOOKUP(A85,Journal!$A$7:M$80,9),0)</f>
        <v>0</v>
      </c>
      <c r="V85" s="151">
        <f t="shared" si="12"/>
        <v>40</v>
      </c>
      <c r="X85">
        <f t="shared" si="9"/>
        <v>0</v>
      </c>
      <c r="Y85" s="171">
        <f t="shared" si="8"/>
        <v>-998.02631578947683</v>
      </c>
    </row>
    <row r="86" spans="1:25">
      <c r="A86">
        <f t="shared" si="13"/>
        <v>79</v>
      </c>
      <c r="B86" s="105" t="str">
        <f>IF(OR(B85="Total",B85=""),"",IF(VLOOKUP(A86,Journal!$B$7:$E$83,4)=0,"Total",VLOOKUP(A86,Journal!$B$7:$D$83,3)))</f>
        <v/>
      </c>
      <c r="C86" s="103" t="str">
        <f>IF(B86="","",VLOOKUP(A86,Journal!$B$7:$E$83,4))</f>
        <v/>
      </c>
      <c r="D86" s="137" t="str">
        <f>IF(B86="","",VLOOKUP(A86,Journal!$B$7:$J$83,9))</f>
        <v/>
      </c>
      <c r="E86" s="139"/>
      <c r="F86" s="139"/>
      <c r="G86" s="138"/>
      <c r="H86" s="106" t="str">
        <f>IF(B86="","",VLOOKUP(A86,Journal!$B$7:$L$83,11))</f>
        <v/>
      </c>
      <c r="I86" s="101" t="str">
        <f>IF(B86="","",VLOOKUP(A86,Journal!$B$7:$M$83,12))</f>
        <v/>
      </c>
      <c r="J86" s="127">
        <f>IF(B86="Total",SUM(J$8:J85)+0.0001,IF(OR(B86="",I$2=I86),0,VLOOKUP(A86,Journal!$B$7:M$83,8)))</f>
        <v>0</v>
      </c>
      <c r="K86" s="127">
        <f>IF(B86="Total",SUM(K$8:K85)+0.0001,IF(OR(B86="",J86&lt;&gt;0),0,VLOOKUP(A86,Journal!$B$7:M$83,8)))</f>
        <v>0</v>
      </c>
      <c r="L86" s="104">
        <f t="shared" si="7"/>
        <v>0</v>
      </c>
      <c r="M86" s="128"/>
      <c r="P86">
        <f t="shared" si="10"/>
        <v>1.0000000000000001E-5</v>
      </c>
      <c r="R86" s="13">
        <f t="shared" si="11"/>
        <v>79</v>
      </c>
      <c r="S86" s="152">
        <f>IF(VLOOKUP(A86,Journal!$A$7:$E$80,5)=0,S85+1,VLOOKUP(A86,Journal!$A$7:$E$80,5))</f>
        <v>45736</v>
      </c>
      <c r="T86" s="151">
        <f>IF(H$2=VLOOKUP(A86,Journal!$A$7:$F$80,6),VLOOKUP(A86,Journal!$A$7:M$80,9),0)</f>
        <v>0</v>
      </c>
      <c r="U86" s="151">
        <f>IF(H$2=VLOOKUP(A86,Journal!$A$7:$G$80,7),VLOOKUP(A86,Journal!$A$7:M$80,9),0)</f>
        <v>0</v>
      </c>
      <c r="V86" s="151">
        <f t="shared" si="12"/>
        <v>40</v>
      </c>
      <c r="X86">
        <f t="shared" si="9"/>
        <v>0</v>
      </c>
      <c r="Y86" s="171">
        <f t="shared" si="8"/>
        <v>-998.00000000000318</v>
      </c>
    </row>
    <row r="87" spans="1:25">
      <c r="A87">
        <f t="shared" si="13"/>
        <v>80</v>
      </c>
      <c r="B87" s="105" t="str">
        <f>IF(OR(B86="Total",B86=""),"",IF(VLOOKUP(A87,Journal!$B$7:$E$83,4)=0,"Total",VLOOKUP(A87,Journal!$B$7:$D$83,3)))</f>
        <v/>
      </c>
      <c r="C87" s="103" t="str">
        <f>IF(B87="","",VLOOKUP(A87,Journal!$B$7:$E$83,4))</f>
        <v/>
      </c>
      <c r="D87" s="137" t="str">
        <f>IF(B87="","",VLOOKUP(A87,Journal!$B$7:$J$83,9))</f>
        <v/>
      </c>
      <c r="E87" s="139"/>
      <c r="F87" s="139"/>
      <c r="G87" s="138"/>
      <c r="H87" s="106" t="str">
        <f>IF(B87="","",VLOOKUP(A87,Journal!$B$7:$L$83,11))</f>
        <v/>
      </c>
      <c r="I87" s="101" t="str">
        <f>IF(B87="","",VLOOKUP(A87,Journal!$B$7:$M$83,12))</f>
        <v/>
      </c>
      <c r="J87" s="127">
        <f>IF(B87="Total",SUM(J$8:J86)+0.0001,IF(OR(B87="",I$2=I87),0,VLOOKUP(A87,Journal!$B$7:M$83,8)))</f>
        <v>0</v>
      </c>
      <c r="K87" s="127">
        <f>IF(B87="Total",SUM(K$8:K86)+0.0001,IF(OR(B87="",J87&lt;&gt;0),0,VLOOKUP(A87,Journal!$B$7:M$83,8)))</f>
        <v>0</v>
      </c>
      <c r="L87" s="104">
        <f t="shared" si="7"/>
        <v>0</v>
      </c>
      <c r="M87" s="128"/>
      <c r="P87">
        <f t="shared" si="10"/>
        <v>1.0000000000000001E-5</v>
      </c>
      <c r="R87" s="13">
        <f t="shared" si="11"/>
        <v>80</v>
      </c>
      <c r="S87" s="152">
        <f>IF(VLOOKUP(A87,Journal!$A$7:$E$80,5)=0,S86+1,VLOOKUP(A87,Journal!$A$7:$E$80,5))</f>
        <v>45737</v>
      </c>
      <c r="T87" s="151">
        <f>IF(H$2=VLOOKUP(A87,Journal!$A$7:$F$80,6),VLOOKUP(A87,Journal!$A$7:M$80,9),0)</f>
        <v>0</v>
      </c>
      <c r="U87" s="151">
        <f>IF(H$2=VLOOKUP(A87,Journal!$A$7:$G$80,7),VLOOKUP(A87,Journal!$A$7:M$80,9),0)</f>
        <v>0</v>
      </c>
      <c r="V87" s="151">
        <f t="shared" si="12"/>
        <v>40</v>
      </c>
      <c r="X87">
        <f t="shared" si="9"/>
        <v>0</v>
      </c>
      <c r="Y87" s="171">
        <f t="shared" si="8"/>
        <v>-997.97368421052954</v>
      </c>
    </row>
    <row r="88" spans="1:25">
      <c r="A88">
        <f t="shared" si="13"/>
        <v>81</v>
      </c>
      <c r="B88" s="105" t="str">
        <f>IF(OR(B87="Total",B87=""),"",IF(VLOOKUP(A88,Journal!$B$7:$E$83,4)=0,"Total",VLOOKUP(A88,Journal!$B$7:$D$83,3)))</f>
        <v/>
      </c>
      <c r="C88" s="103" t="str">
        <f>IF(B88="","",VLOOKUP(A88,Journal!$B$7:$E$83,4))</f>
        <v/>
      </c>
      <c r="D88" s="137" t="str">
        <f>IF(B88="","",VLOOKUP(A88,Journal!$B$7:$J$83,9))</f>
        <v/>
      </c>
      <c r="E88" s="139"/>
      <c r="F88" s="139"/>
      <c r="G88" s="138"/>
      <c r="H88" s="106" t="str">
        <f>IF(B88="","",VLOOKUP(A88,Journal!$B$7:$L$83,11))</f>
        <v/>
      </c>
      <c r="I88" s="101" t="str">
        <f>IF(B88="","",VLOOKUP(A88,Journal!$B$7:$M$83,12))</f>
        <v/>
      </c>
      <c r="J88" s="127">
        <f>IF(B88="Total",SUM(J$8:J87)+0.0001,IF(OR(B88="",I$2=I88),0,VLOOKUP(A88,Journal!$B$7:M$83,8)))</f>
        <v>0</v>
      </c>
      <c r="K88" s="127">
        <f>IF(B88="Total",SUM(K$8:K87)+0.0001,IF(OR(B88="",J88&lt;&gt;0),0,VLOOKUP(A88,Journal!$B$7:M$83,8)))</f>
        <v>0</v>
      </c>
      <c r="L88" s="104">
        <f t="shared" si="7"/>
        <v>0</v>
      </c>
      <c r="M88" s="128"/>
      <c r="P88">
        <f t="shared" si="10"/>
        <v>1.0000000000000001E-5</v>
      </c>
      <c r="R88" s="13">
        <f t="shared" si="11"/>
        <v>81</v>
      </c>
      <c r="S88" s="152">
        <f>IF(VLOOKUP(A88,Journal!$A$7:$E$80,5)=0,S87+1,VLOOKUP(A88,Journal!$A$7:$E$80,5))</f>
        <v>45738</v>
      </c>
      <c r="T88" s="151">
        <f>IF(H$2=VLOOKUP(A88,Journal!$A$7:$F$80,6),VLOOKUP(A88,Journal!$A$7:M$80,9),0)</f>
        <v>0</v>
      </c>
      <c r="U88" s="151">
        <f>IF(H$2=VLOOKUP(A88,Journal!$A$7:$G$80,7),VLOOKUP(A88,Journal!$A$7:M$80,9),0)</f>
        <v>0</v>
      </c>
      <c r="V88" s="151">
        <f t="shared" si="12"/>
        <v>40</v>
      </c>
      <c r="X88">
        <f t="shared" si="9"/>
        <v>0</v>
      </c>
      <c r="Y88" s="171">
        <f t="shared" si="8"/>
        <v>-997.9473684210559</v>
      </c>
    </row>
    <row r="89" spans="1:25">
      <c r="A89">
        <f t="shared" si="13"/>
        <v>82</v>
      </c>
      <c r="B89" s="105" t="str">
        <f>IF(OR(B88="Total",B88=""),"",IF(VLOOKUP(A89,Journal!$B$7:$E$83,4)=0,"Total",VLOOKUP(A89,Journal!$B$7:$D$83,3)))</f>
        <v/>
      </c>
      <c r="C89" s="103" t="str">
        <f>IF(B89="","",VLOOKUP(A89,Journal!$B$7:$E$83,4))</f>
        <v/>
      </c>
      <c r="D89" s="137" t="str">
        <f>IF(B89="","",VLOOKUP(A89,Journal!$B$7:$J$83,9))</f>
        <v/>
      </c>
      <c r="E89" s="139"/>
      <c r="F89" s="139"/>
      <c r="G89" s="138"/>
      <c r="H89" s="106" t="str">
        <f>IF(B89="","",VLOOKUP(A89,Journal!$B$7:$L$83,11))</f>
        <v/>
      </c>
      <c r="I89" s="101" t="str">
        <f>IF(B89="","",VLOOKUP(A89,Journal!$B$7:$M$83,12))</f>
        <v/>
      </c>
      <c r="J89" s="127">
        <f>IF(B89="Total",SUM(J$8:J88)+0.0001,IF(OR(B89="",I$2=I89),0,VLOOKUP(A89,Journal!$B$7:M$83,8)))</f>
        <v>0</v>
      </c>
      <c r="K89" s="127">
        <f>IF(B89="Total",SUM(K$8:K88)+0.0001,IF(OR(B89="",J89&lt;&gt;0),0,VLOOKUP(A89,Journal!$B$7:M$83,8)))</f>
        <v>0</v>
      </c>
      <c r="L89" s="104">
        <f t="shared" si="7"/>
        <v>0</v>
      </c>
      <c r="M89" s="128"/>
      <c r="P89">
        <f t="shared" si="10"/>
        <v>1.0000000000000001E-5</v>
      </c>
      <c r="R89" s="13">
        <f t="shared" si="11"/>
        <v>82</v>
      </c>
      <c r="S89" s="152">
        <f>IF(VLOOKUP(A89,Journal!$A$7:$E$80,5)=0,S88+1,VLOOKUP(A89,Journal!$A$7:$E$80,5))</f>
        <v>45739</v>
      </c>
      <c r="T89" s="151">
        <f>IF(H$2=VLOOKUP(A89,Journal!$A$7:$F$80,6),VLOOKUP(A89,Journal!$A$7:M$80,9),0)</f>
        <v>0</v>
      </c>
      <c r="U89" s="151">
        <f>IF(H$2=VLOOKUP(A89,Journal!$A$7:$G$80,7),VLOOKUP(A89,Journal!$A$7:M$80,9),0)</f>
        <v>0</v>
      </c>
      <c r="V89" s="151">
        <f t="shared" si="12"/>
        <v>40</v>
      </c>
      <c r="X89">
        <f t="shared" si="9"/>
        <v>0</v>
      </c>
      <c r="Y89" s="171">
        <f t="shared" si="8"/>
        <v>-997.92105263158226</v>
      </c>
    </row>
    <row r="90" spans="1:25">
      <c r="A90">
        <f t="shared" si="13"/>
        <v>83</v>
      </c>
      <c r="B90" s="105" t="str">
        <f>IF(OR(B89="Total",B89=""),"",IF(VLOOKUP(A90,Journal!$B$7:$E$83,4)=0,"Total",VLOOKUP(A90,Journal!$B$7:$D$83,3)))</f>
        <v/>
      </c>
      <c r="C90" s="103" t="str">
        <f>IF(B90="","",VLOOKUP(A90,Journal!$B$7:$E$83,4))</f>
        <v/>
      </c>
      <c r="D90" s="137" t="str">
        <f>IF(B90="","",VLOOKUP(A90,Journal!$B$7:$J$83,9))</f>
        <v/>
      </c>
      <c r="E90" s="139"/>
      <c r="F90" s="139"/>
      <c r="G90" s="138"/>
      <c r="H90" s="106" t="str">
        <f>IF(B90="","",VLOOKUP(A90,Journal!$B$7:$L$83,11))</f>
        <v/>
      </c>
      <c r="I90" s="101" t="str">
        <f>IF(B90="","",VLOOKUP(A90,Journal!$B$7:$M$83,12))</f>
        <v/>
      </c>
      <c r="J90" s="127">
        <f>IF(B90="Total",SUM(J$8:J89)+0.0001,IF(OR(B90="",I$2=I90),0,VLOOKUP(A90,Journal!$B$7:M$83,8)))</f>
        <v>0</v>
      </c>
      <c r="K90" s="127">
        <f>IF(B90="Total",SUM(K$8:K89)+0.0001,IF(OR(B90="",J90&lt;&gt;0),0,VLOOKUP(A90,Journal!$B$7:M$83,8)))</f>
        <v>0</v>
      </c>
      <c r="L90" s="104">
        <f t="shared" si="7"/>
        <v>0</v>
      </c>
      <c r="M90" s="128"/>
      <c r="P90">
        <f t="shared" si="10"/>
        <v>1.0000000000000001E-5</v>
      </c>
      <c r="R90" s="13">
        <f t="shared" si="11"/>
        <v>83</v>
      </c>
      <c r="S90" s="152">
        <f>IF(VLOOKUP(A90,Journal!$A$7:$E$80,5)=0,S89+1,VLOOKUP(A90,Journal!$A$7:$E$80,5))</f>
        <v>45740</v>
      </c>
      <c r="T90" s="151">
        <f>IF(H$2=VLOOKUP(A90,Journal!$A$7:$F$80,6),VLOOKUP(A90,Journal!$A$7:M$80,9),0)</f>
        <v>0</v>
      </c>
      <c r="U90" s="151">
        <f>IF(H$2=VLOOKUP(A90,Journal!$A$7:$G$80,7),VLOOKUP(A90,Journal!$A$7:M$80,9),0)</f>
        <v>0</v>
      </c>
      <c r="V90" s="151">
        <f t="shared" si="12"/>
        <v>40</v>
      </c>
      <c r="X90">
        <f t="shared" si="9"/>
        <v>0</v>
      </c>
      <c r="Y90" s="171">
        <f t="shared" si="8"/>
        <v>-997.89473684210861</v>
      </c>
    </row>
    <row r="91" spans="1:25">
      <c r="A91">
        <f t="shared" si="13"/>
        <v>84</v>
      </c>
      <c r="B91" s="105" t="str">
        <f>IF(OR(B90="Total",B90=""),"",IF(VLOOKUP(A91,Journal!$B$7:$E$83,4)=0,"Total",VLOOKUP(A91,Journal!$B$7:$D$83,3)))</f>
        <v/>
      </c>
      <c r="C91" s="103" t="str">
        <f>IF(B91="","",VLOOKUP(A91,Journal!$B$7:$E$83,4))</f>
        <v/>
      </c>
      <c r="D91" s="137" t="str">
        <f>IF(B91="","",VLOOKUP(A91,Journal!$B$7:$J$83,9))</f>
        <v/>
      </c>
      <c r="E91" s="139"/>
      <c r="F91" s="139"/>
      <c r="G91" s="138"/>
      <c r="H91" s="106" t="str">
        <f>IF(B91="","",VLOOKUP(A91,Journal!$B$7:$L$83,11))</f>
        <v/>
      </c>
      <c r="I91" s="101" t="str">
        <f>IF(B91="","",VLOOKUP(A91,Journal!$B$7:$M$83,12))</f>
        <v/>
      </c>
      <c r="J91" s="127">
        <f>IF(B91="Total",SUM(J$8:J90)+0.0001,IF(OR(B91="",I$2=I91),0,VLOOKUP(A91,Journal!$B$7:M$83,8)))</f>
        <v>0</v>
      </c>
      <c r="K91" s="127">
        <f>IF(B91="Total",SUM(K$8:K90)+0.0001,IF(OR(B91="",J91&lt;&gt;0),0,VLOOKUP(A91,Journal!$B$7:M$83,8)))</f>
        <v>0</v>
      </c>
      <c r="L91" s="104">
        <f t="shared" si="7"/>
        <v>0</v>
      </c>
      <c r="M91" s="128"/>
      <c r="P91">
        <f t="shared" si="10"/>
        <v>1.0000000000000001E-5</v>
      </c>
      <c r="R91" s="13">
        <f t="shared" si="11"/>
        <v>84</v>
      </c>
      <c r="S91" s="152">
        <f>IF(VLOOKUP(A91,Journal!$A$7:$E$80,5)=0,S90+1,VLOOKUP(A91,Journal!$A$7:$E$80,5))</f>
        <v>45741</v>
      </c>
      <c r="T91" s="151">
        <f>IF(H$2=VLOOKUP(A91,Journal!$A$7:$F$80,6),VLOOKUP(A91,Journal!$A$7:M$80,9),0)</f>
        <v>0</v>
      </c>
      <c r="U91" s="151">
        <f>IF(H$2=VLOOKUP(A91,Journal!$A$7:$G$80,7),VLOOKUP(A91,Journal!$A$7:M$80,9),0)</f>
        <v>0</v>
      </c>
      <c r="V91" s="151">
        <f t="shared" si="12"/>
        <v>40</v>
      </c>
      <c r="X91">
        <f t="shared" si="9"/>
        <v>0</v>
      </c>
      <c r="Y91" s="171">
        <f t="shared" si="8"/>
        <v>-997.86842105263497</v>
      </c>
    </row>
    <row r="92" spans="1:25">
      <c r="A92">
        <f t="shared" si="13"/>
        <v>85</v>
      </c>
      <c r="B92" s="105" t="str">
        <f>IF(OR(B91="Total",B91=""),"",IF(VLOOKUP(A92,Journal!$B$7:$E$83,4)=0,"Total",VLOOKUP(A92,Journal!$B$7:$D$83,3)))</f>
        <v/>
      </c>
      <c r="C92" s="103" t="str">
        <f>IF(B92="","",VLOOKUP(A92,Journal!$B$7:$E$83,4))</f>
        <v/>
      </c>
      <c r="D92" s="137" t="str">
        <f>IF(B92="","",VLOOKUP(A92,Journal!$B$7:$J$83,9))</f>
        <v/>
      </c>
      <c r="E92" s="139"/>
      <c r="F92" s="139"/>
      <c r="G92" s="138"/>
      <c r="H92" s="106" t="str">
        <f>IF(B92="","",VLOOKUP(A92,Journal!$B$7:$L$83,11))</f>
        <v/>
      </c>
      <c r="I92" s="101" t="str">
        <f>IF(B92="","",VLOOKUP(A92,Journal!$B$7:$M$83,12))</f>
        <v/>
      </c>
      <c r="J92" s="127">
        <f>IF(B92="Total",SUM(J$8:J91)+0.0001,IF(OR(B92="",I$2=I92),0,VLOOKUP(A92,Journal!$B$7:M$83,8)))</f>
        <v>0</v>
      </c>
      <c r="K92" s="127">
        <f>IF(B92="Total",SUM(K$8:K91)+0.0001,IF(OR(B92="",J92&lt;&gt;0),0,VLOOKUP(A92,Journal!$B$7:M$83,8)))</f>
        <v>0</v>
      </c>
      <c r="L92" s="104">
        <f t="shared" si="7"/>
        <v>0</v>
      </c>
      <c r="M92" s="128"/>
      <c r="P92">
        <f t="shared" si="10"/>
        <v>1.0000000000000001E-5</v>
      </c>
      <c r="R92" s="13">
        <f t="shared" si="11"/>
        <v>85</v>
      </c>
      <c r="S92" s="152">
        <f>IF(VLOOKUP(A92,Journal!$A$7:$E$80,5)=0,S91+1,VLOOKUP(A92,Journal!$A$7:$E$80,5))</f>
        <v>45742</v>
      </c>
      <c r="T92" s="151">
        <f>IF(H$2=VLOOKUP(A92,Journal!$A$7:$F$80,6),VLOOKUP(A92,Journal!$A$7:M$80,9),0)</f>
        <v>0</v>
      </c>
      <c r="U92" s="151">
        <f>IF(H$2=VLOOKUP(A92,Journal!$A$7:$G$80,7),VLOOKUP(A92,Journal!$A$7:M$80,9),0)</f>
        <v>0</v>
      </c>
      <c r="V92" s="151">
        <f t="shared" si="12"/>
        <v>40</v>
      </c>
      <c r="X92">
        <f t="shared" si="9"/>
        <v>0</v>
      </c>
      <c r="Y92" s="171">
        <f t="shared" si="8"/>
        <v>-997.84210526316133</v>
      </c>
    </row>
    <row r="93" spans="1:25">
      <c r="A93">
        <f t="shared" si="13"/>
        <v>86</v>
      </c>
      <c r="B93" s="105" t="str">
        <f>IF(OR(B92="Total",B92=""),"",IF(VLOOKUP(A93,Journal!$B$7:$E$83,4)=0,"Total",VLOOKUP(A93,Journal!$B$7:$D$83,3)))</f>
        <v/>
      </c>
      <c r="C93" s="103" t="str">
        <f>IF(B93="","",VLOOKUP(A93,Journal!$B$7:$E$83,4))</f>
        <v/>
      </c>
      <c r="D93" s="137" t="str">
        <f>IF(B93="","",VLOOKUP(A93,Journal!$B$7:$J$83,9))</f>
        <v/>
      </c>
      <c r="E93" s="139"/>
      <c r="F93" s="139"/>
      <c r="G93" s="138"/>
      <c r="H93" s="106" t="str">
        <f>IF(B93="","",VLOOKUP(A93,Journal!$B$7:$L$83,11))</f>
        <v/>
      </c>
      <c r="I93" s="101" t="str">
        <f>IF(B93="","",VLOOKUP(A93,Journal!$B$7:$M$83,12))</f>
        <v/>
      </c>
      <c r="J93" s="127">
        <f>IF(B93="Total",SUM(J$8:J92)+0.0001,IF(OR(B93="",I$2=I93),0,VLOOKUP(A93,Journal!$B$7:M$83,8)))</f>
        <v>0</v>
      </c>
      <c r="K93" s="127">
        <f>IF(B93="Total",SUM(K$8:K92)+0.0001,IF(OR(B93="",J93&lt;&gt;0),0,VLOOKUP(A93,Journal!$B$7:M$83,8)))</f>
        <v>0</v>
      </c>
      <c r="L93" s="104">
        <f>IF(B93="Total",L92,IF(B93="",0,IF($M$1=1,L92+J93-K93,L92-J93+K93)))</f>
        <v>0</v>
      </c>
      <c r="M93" s="128"/>
      <c r="P93">
        <f t="shared" ref="P93:P98" si="14">IF(L92=L93,L92+0.00001,L93)</f>
        <v>1.0000000000000001E-5</v>
      </c>
      <c r="R93" s="13">
        <f t="shared" si="11"/>
        <v>86</v>
      </c>
      <c r="S93" s="152">
        <f>IF(VLOOKUP(A93,Journal!$A$7:$E$80,5)=0,S92+1,VLOOKUP(A93,Journal!$A$7:$E$80,5))</f>
        <v>45743</v>
      </c>
      <c r="T93" s="151">
        <f>IF(H$2=VLOOKUP(A93,Journal!$A$7:$F$80,6),VLOOKUP(A93,Journal!$A$7:M$80,9),0)</f>
        <v>0</v>
      </c>
      <c r="U93" s="151">
        <f>IF(H$2=VLOOKUP(A93,Journal!$A$7:$G$80,7),VLOOKUP(A93,Journal!$A$7:M$80,9),0)</f>
        <v>0</v>
      </c>
      <c r="V93" s="151">
        <f>IF($M$1=1,V92+T93-U93,V92-T93+U93)</f>
        <v>40</v>
      </c>
      <c r="X93">
        <f>IF(J$2&gt;S93,1,0)</f>
        <v>0</v>
      </c>
      <c r="Y93" s="171">
        <f>IF(B92="Total",-1000,Y92+Y$4)</f>
        <v>-997.81578947368769</v>
      </c>
    </row>
    <row r="94" spans="1:25">
      <c r="A94">
        <f>A93+1</f>
        <v>87</v>
      </c>
      <c r="B94" s="105" t="str">
        <f>IF(OR(B93="Total",B93=""),"",IF(VLOOKUP(A94,Journal!$B$7:$E$83,4)=0,"Total",VLOOKUP(A94,Journal!$B$7:$D$83,3)))</f>
        <v/>
      </c>
      <c r="C94" s="103" t="str">
        <f>IF(B94="","",VLOOKUP(A94,Journal!$B$7:$E$83,4))</f>
        <v/>
      </c>
      <c r="D94" s="137" t="str">
        <f>IF(B94="","",VLOOKUP(A94,Journal!$B$7:$J$83,9))</f>
        <v/>
      </c>
      <c r="E94" s="139"/>
      <c r="F94" s="139"/>
      <c r="G94" s="138"/>
      <c r="H94" s="106" t="str">
        <f>IF(B94="","",VLOOKUP(A94,Journal!$B$7:$L$83,11))</f>
        <v/>
      </c>
      <c r="I94" s="101" t="str">
        <f>IF(B94="","",VLOOKUP(A94,Journal!$B$7:$M$83,12))</f>
        <v/>
      </c>
      <c r="J94" s="127">
        <f>IF(B94="Total",SUM(J$8:J93)+0.0001,IF(OR(B94="",I$2=I94),0,VLOOKUP(A94,Journal!$B$7:M$83,8)))</f>
        <v>0</v>
      </c>
      <c r="K94" s="127">
        <f>IF(B94="Total",SUM(K$8:K93)+0.0001,IF(OR(B94="",J94&lt;&gt;0),0,VLOOKUP(A94,Journal!$B$7:M$83,8)))</f>
        <v>0</v>
      </c>
      <c r="L94" s="104">
        <f>IF(B94="Total",L93,IF(B94="",0,IF($M$1=1,L93+J94-K94,L93-J94+K94)))</f>
        <v>0</v>
      </c>
      <c r="M94" s="128"/>
      <c r="P94">
        <f t="shared" si="14"/>
        <v>1.0000000000000001E-5</v>
      </c>
      <c r="R94" s="13">
        <f t="shared" si="11"/>
        <v>87</v>
      </c>
      <c r="S94" s="152">
        <f>IF(VLOOKUP(A94,Journal!$A$7:$E$80,5)=0,S93+1,VLOOKUP(A94,Journal!$A$7:$E$80,5))</f>
        <v>45744</v>
      </c>
      <c r="T94" s="151">
        <f>IF(H$2=VLOOKUP(A94,Journal!$A$7:$F$80,6),VLOOKUP(A94,Journal!$A$7:M$80,9),0)</f>
        <v>0</v>
      </c>
      <c r="U94" s="151">
        <f>IF(H$2=VLOOKUP(A94,Journal!$A$7:$G$80,7),VLOOKUP(A94,Journal!$A$7:M$80,9),0)</f>
        <v>0</v>
      </c>
      <c r="V94" s="151">
        <f>IF($M$1=1,V93+T94-U94,V93-T94+U94)</f>
        <v>40</v>
      </c>
      <c r="X94">
        <f>IF(J$2&gt;S94,1,0)</f>
        <v>0</v>
      </c>
      <c r="Y94" s="171">
        <f>IF(B93="Total",-1000,Y93+Y$4)</f>
        <v>-997.78947368421404</v>
      </c>
    </row>
    <row r="95" spans="1:25">
      <c r="A95">
        <f>A94+1</f>
        <v>88</v>
      </c>
      <c r="B95" s="105" t="str">
        <f>IF(OR(B94="Total",B94=""),"",IF(VLOOKUP(A95,Journal!$B$7:$E$83,4)=0,"Total",VLOOKUP(A95,Journal!$B$7:$D$83,3)))</f>
        <v/>
      </c>
      <c r="C95" s="103" t="str">
        <f>IF(B95="","",VLOOKUP(A95,Journal!$B$7:$E$83,4))</f>
        <v/>
      </c>
      <c r="D95" s="137" t="str">
        <f>IF(B95="","",VLOOKUP(A95,Journal!$B$7:$J$83,9))</f>
        <v/>
      </c>
      <c r="E95" s="139"/>
      <c r="F95" s="139"/>
      <c r="G95" s="138"/>
      <c r="H95" s="106" t="str">
        <f>IF(B95="","",VLOOKUP(A95,Journal!$B$7:$L$83,11))</f>
        <v/>
      </c>
      <c r="I95" s="101" t="str">
        <f>IF(B95="","",VLOOKUP(A95,Journal!$B$7:$M$83,12))</f>
        <v/>
      </c>
      <c r="J95" s="127">
        <f>IF(B95="Total",SUM(J$8:J94)+0.0001,IF(OR(B95="",I$2=I95),0,VLOOKUP(A95,Journal!$B$7:M$83,8)))</f>
        <v>0</v>
      </c>
      <c r="K95" s="127">
        <f>IF(B95="Total",SUM(K$8:K94)+0.0001,IF(OR(B95="",J95&lt;&gt;0),0,VLOOKUP(A95,Journal!$B$7:M$83,8)))</f>
        <v>0</v>
      </c>
      <c r="L95" s="104">
        <f>IF(B95="Total",L94,IF(B95="",0,IF($M$1=1,L94+J95-K95,L94-J95+K95)))</f>
        <v>0</v>
      </c>
      <c r="M95" s="128"/>
      <c r="P95">
        <f t="shared" si="14"/>
        <v>1.0000000000000001E-5</v>
      </c>
      <c r="R95" s="13">
        <f t="shared" si="11"/>
        <v>88</v>
      </c>
      <c r="S95" s="152">
        <f>IF(VLOOKUP(A95,Journal!$A$7:$E$80,5)=0,S94+1,VLOOKUP(A95,Journal!$A$7:$E$80,5))</f>
        <v>45745</v>
      </c>
      <c r="T95" s="151">
        <f>IF(H$2=VLOOKUP(A95,Journal!$A$7:$F$80,6),VLOOKUP(A95,Journal!$A$7:M$80,9),0)</f>
        <v>0</v>
      </c>
      <c r="U95" s="151">
        <f>IF(H$2=VLOOKUP(A95,Journal!$A$7:$G$80,7),VLOOKUP(A95,Journal!$A$7:M$80,9),0)</f>
        <v>0</v>
      </c>
      <c r="V95" s="151">
        <f>IF($M$1=1,V94+T95-U95,V94-T95+U95)</f>
        <v>40</v>
      </c>
      <c r="X95">
        <f>IF(J$2&gt;S95,1,0)</f>
        <v>0</v>
      </c>
      <c r="Y95" s="171">
        <f>IF(B94="Total",-1000,Y94+Y$4)</f>
        <v>-997.7631578947404</v>
      </c>
    </row>
    <row r="96" spans="1:25">
      <c r="A96">
        <f>A95+1</f>
        <v>89</v>
      </c>
      <c r="B96" s="105" t="str">
        <f>IF(OR(B95="Total",B95=""),"",IF(VLOOKUP(A96,Journal!$B$7:$E$83,4)=0,"Total",VLOOKUP(A96,Journal!$B$7:$D$83,3)))</f>
        <v/>
      </c>
      <c r="C96" s="103" t="str">
        <f>IF(B96="","",VLOOKUP(A96,Journal!$B$7:$E$83,4))</f>
        <v/>
      </c>
      <c r="D96" s="137" t="str">
        <f>IF(B96="","",VLOOKUP(A96,Journal!$B$7:$J$83,9))</f>
        <v/>
      </c>
      <c r="E96" s="139"/>
      <c r="F96" s="139"/>
      <c r="G96" s="138"/>
      <c r="H96" s="106" t="str">
        <f>IF(B96="","",VLOOKUP(A96,Journal!$B$7:$L$83,11))</f>
        <v/>
      </c>
      <c r="I96" s="101" t="str">
        <f>IF(B96="","",VLOOKUP(A96,Journal!$B$7:$M$83,12))</f>
        <v/>
      </c>
      <c r="J96" s="127">
        <f>IF(B96="Total",SUM(J$8:J95)+0.0001,IF(OR(B96="",I$2=I96),0,VLOOKUP(A96,Journal!$B$7:M$83,8)))</f>
        <v>0</v>
      </c>
      <c r="K96" s="127">
        <f>IF(B96="Total",SUM(K$8:K95)+0.0001,IF(OR(B96="",J96&lt;&gt;0),0,VLOOKUP(A96,Journal!$B$7:M$83,8)))</f>
        <v>0</v>
      </c>
      <c r="L96" s="104">
        <f>IF(B96="Total",L95,IF(B96="",0,IF($M$1=1,L95+J96-K96,L95-J96+K96)))</f>
        <v>0</v>
      </c>
      <c r="M96" s="128"/>
      <c r="P96">
        <f t="shared" si="14"/>
        <v>1.0000000000000001E-5</v>
      </c>
      <c r="R96" s="13">
        <f t="shared" si="11"/>
        <v>89</v>
      </c>
      <c r="S96" s="152">
        <f>IF(VLOOKUP(A96,Journal!$A$7:$E$80,5)=0,S95+1,VLOOKUP(A96,Journal!$A$7:$E$80,5))</f>
        <v>45746</v>
      </c>
      <c r="T96" s="151">
        <f>IF(H$2=VLOOKUP(A96,Journal!$A$7:$F$80,6),VLOOKUP(A96,Journal!$A$7:M$80,9),0)</f>
        <v>0</v>
      </c>
      <c r="U96" s="151">
        <f>IF(H$2=VLOOKUP(A96,Journal!$A$7:$G$80,7),VLOOKUP(A96,Journal!$A$7:M$80,9),0)</f>
        <v>0</v>
      </c>
      <c r="V96" s="151">
        <f>IF($M$1=1,V95+T96-U96,V95-T96+U96)</f>
        <v>40</v>
      </c>
      <c r="X96">
        <f>IF(J$2&gt;S96,1,0)</f>
        <v>0</v>
      </c>
      <c r="Y96" s="171">
        <f>IF(B95="Total",-1000,Y95+Y$4)</f>
        <v>-997.73684210526676</v>
      </c>
    </row>
    <row r="97" spans="1:25">
      <c r="A97">
        <f>A96+1</f>
        <v>90</v>
      </c>
      <c r="B97" s="105" t="str">
        <f>IF(OR(B96="Total",B96=""),"",IF(VLOOKUP(A97,Journal!$B$7:$E$83,4)=0,"Total",VLOOKUP(A97,Journal!$B$7:$D$83,3)))</f>
        <v/>
      </c>
      <c r="C97" s="103" t="str">
        <f>IF(B97="","",VLOOKUP(A97,Journal!$B$7:$E$83,4))</f>
        <v/>
      </c>
      <c r="D97" s="137" t="str">
        <f>IF(B97="","",VLOOKUP(A97,Journal!$B$7:$J$83,9))</f>
        <v/>
      </c>
      <c r="E97" s="139"/>
      <c r="F97" s="139"/>
      <c r="G97" s="138"/>
      <c r="H97" s="106" t="str">
        <f>IF(B97="","",VLOOKUP(A97,Journal!$B$7:$L$83,11))</f>
        <v/>
      </c>
      <c r="I97" s="101" t="str">
        <f>IF(B97="","",VLOOKUP(A97,Journal!$B$7:$M$83,12))</f>
        <v/>
      </c>
      <c r="J97" s="127">
        <f>IF(B97="Total",SUM(J$8:J96)+0.0001,IF(OR(B97="",I$2=I97),0,VLOOKUP(A97,Journal!$B$7:M$83,8)))</f>
        <v>0</v>
      </c>
      <c r="K97" s="127">
        <f>IF(B97="Total",SUM(K$8:K96)+0.0001,IF(OR(B97="",J97&lt;&gt;0),0,VLOOKUP(A97,Journal!$B$7:M$83,8)))</f>
        <v>0</v>
      </c>
      <c r="L97" s="104">
        <f>IF(B97="Total",L96,IF(B97="",0,IF($M$1=1,L96+J97-K97,L96-J97+K97)))</f>
        <v>0</v>
      </c>
      <c r="M97" s="128"/>
      <c r="P97">
        <f t="shared" si="14"/>
        <v>1.0000000000000001E-5</v>
      </c>
      <c r="R97" s="13">
        <f t="shared" si="11"/>
        <v>90</v>
      </c>
      <c r="S97" s="152">
        <f>IF(VLOOKUP(A97,Journal!$A$7:$E$80,5)=0,S96+1,VLOOKUP(A97,Journal!$A$7:$E$80,5))</f>
        <v>45747</v>
      </c>
      <c r="T97" s="151">
        <f>IF(H$2=VLOOKUP(A97,Journal!$A$7:$F$80,6),VLOOKUP(A97,Journal!$A$7:M$80,9),0)</f>
        <v>0</v>
      </c>
      <c r="U97" s="151">
        <f>IF(H$2=VLOOKUP(A97,Journal!$A$7:$G$80,7),VLOOKUP(A97,Journal!$A$7:M$80,9),0)</f>
        <v>0</v>
      </c>
      <c r="V97" s="151">
        <f>IF($M$1=1,V96+T97-U97,V96-T97+U97)</f>
        <v>40</v>
      </c>
      <c r="X97">
        <f>IF(J$2&gt;S97,1,0)</f>
        <v>0</v>
      </c>
      <c r="Y97" s="171">
        <f>IF(B96="Total",-1000,Y96+Y$4)</f>
        <v>-997.71052631579312</v>
      </c>
    </row>
    <row r="98" spans="1:25">
      <c r="B98" s="101" t="s">
        <v>295</v>
      </c>
      <c r="C98" s="103"/>
      <c r="D98" s="107" t="s">
        <v>181</v>
      </c>
      <c r="E98" s="107"/>
      <c r="F98" s="107"/>
      <c r="G98" s="107"/>
      <c r="H98" s="101"/>
      <c r="I98" s="101"/>
      <c r="J98" s="104">
        <f>SUM(J8:J97)/2+0.00005</f>
        <v>40.000100000000003</v>
      </c>
      <c r="K98" s="104">
        <f>SUM(K8:K97)/2+0.00005</f>
        <v>1E-4</v>
      </c>
      <c r="L98" s="108">
        <f>L97</f>
        <v>0</v>
      </c>
      <c r="P98">
        <f t="shared" si="14"/>
        <v>1.0000000000000001E-5</v>
      </c>
    </row>
    <row r="99" spans="1:25">
      <c r="D99" t="str">
        <f>IF(H99="","",Journal!J87)</f>
        <v/>
      </c>
      <c r="H99" s="12" t="str">
        <f>IF(AND(J99=0,K99=0),"",Journal!L87)</f>
        <v/>
      </c>
      <c r="I99" t="str">
        <f>IF(H99="","",Journal!M87)</f>
        <v/>
      </c>
      <c r="J99" s="85"/>
      <c r="K99" s="85"/>
      <c r="L99" s="85"/>
    </row>
    <row r="100" spans="1:25">
      <c r="D100" t="str">
        <f>IF(H100="","",Journal!J88)</f>
        <v/>
      </c>
      <c r="H100" s="12" t="str">
        <f>IF(AND(J100=0,K100=0),"",Journal!L88)</f>
        <v/>
      </c>
      <c r="I100" t="str">
        <f>IF(H100="","",Journal!M88)</f>
        <v/>
      </c>
      <c r="J100" s="85"/>
      <c r="K100" s="85"/>
      <c r="L100" s="85"/>
    </row>
    <row r="101" spans="1:25">
      <c r="D101" t="str">
        <f>IF(H101="","",Journal!J89)</f>
        <v/>
      </c>
      <c r="H101" s="12" t="str">
        <f>IF(AND(J101=0,K101=0),"",Journal!L89)</f>
        <v/>
      </c>
      <c r="I101" t="str">
        <f>IF(H101="","",Journal!M89)</f>
        <v/>
      </c>
      <c r="J101" s="85"/>
      <c r="K101" s="85"/>
      <c r="L101" s="85"/>
    </row>
    <row r="102" spans="1:25">
      <c r="D102" t="str">
        <f>IF(H102="","",Journal!J90)</f>
        <v/>
      </c>
      <c r="H102" s="12" t="str">
        <f>IF(AND(J102=0,K102=0),"",Journal!L90)</f>
        <v/>
      </c>
      <c r="I102" t="str">
        <f>IF(H102="","",Journal!M90)</f>
        <v/>
      </c>
      <c r="J102" s="85"/>
      <c r="K102" s="85"/>
      <c r="L102" s="85"/>
    </row>
  </sheetData>
  <sheetProtection sheet="1" formatCells="0" formatColumns="0" formatRows="0"/>
  <mergeCells count="4">
    <mergeCell ref="B4:L4"/>
    <mergeCell ref="H5:I5"/>
    <mergeCell ref="J5:K5"/>
    <mergeCell ref="B1:G2"/>
  </mergeCells>
  <phoneticPr fontId="4" type="noConversion"/>
  <conditionalFormatting sqref="L99:L102">
    <cfRule type="cellIs" dxfId="48" priority="43" stopIfTrue="1" operator="equal">
      <formula>L98</formula>
    </cfRule>
  </conditionalFormatting>
  <conditionalFormatting sqref="L7">
    <cfRule type="cellIs" dxfId="47" priority="45" stopIfTrue="1" operator="equal">
      <formula>#REF!</formula>
    </cfRule>
  </conditionalFormatting>
  <conditionalFormatting sqref="C8:C9">
    <cfRule type="cellIs" dxfId="46" priority="47" stopIfTrue="1" operator="equal">
      <formula>0</formula>
    </cfRule>
  </conditionalFormatting>
  <conditionalFormatting sqref="B8">
    <cfRule type="cellIs" dxfId="45" priority="53" stopIfTrue="1" operator="equal">
      <formula>"Total"</formula>
    </cfRule>
  </conditionalFormatting>
  <conditionalFormatting sqref="B9">
    <cfRule type="cellIs" dxfId="44" priority="56" stopIfTrue="1" operator="equal">
      <formula>"Total"</formula>
    </cfRule>
  </conditionalFormatting>
  <conditionalFormatting sqref="J8:J9">
    <cfRule type="cellIs" dxfId="43" priority="40" stopIfTrue="1" operator="equal">
      <formula>$J$98</formula>
    </cfRule>
  </conditionalFormatting>
  <conditionalFormatting sqref="K8:K9">
    <cfRule type="cellIs" dxfId="42" priority="39" stopIfTrue="1" operator="equal">
      <formula>$K$98</formula>
    </cfRule>
  </conditionalFormatting>
  <conditionalFormatting sqref="L8:L92">
    <cfRule type="cellIs" dxfId="41" priority="34" stopIfTrue="1" operator="equal">
      <formula>L7</formula>
    </cfRule>
  </conditionalFormatting>
  <conditionalFormatting sqref="C10:C47 C48:G92">
    <cfRule type="cellIs" dxfId="40" priority="22" stopIfTrue="1" operator="equal">
      <formula>0</formula>
    </cfRule>
  </conditionalFormatting>
  <conditionalFormatting sqref="B10:B92">
    <cfRule type="cellIs" dxfId="39" priority="25" stopIfTrue="1" operator="equal">
      <formula>"Total"</formula>
    </cfRule>
  </conditionalFormatting>
  <conditionalFormatting sqref="J10:J92">
    <cfRule type="cellIs" dxfId="38" priority="20" stopIfTrue="1" operator="equal">
      <formula>$J$98</formula>
    </cfRule>
  </conditionalFormatting>
  <conditionalFormatting sqref="K10:K92">
    <cfRule type="cellIs" dxfId="37" priority="19" stopIfTrue="1" operator="equal">
      <formula>$K$98</formula>
    </cfRule>
  </conditionalFormatting>
  <conditionalFormatting sqref="H7:I7 H98:I98 H8:H92">
    <cfRule type="cellIs" dxfId="36" priority="62" stopIfTrue="1" operator="equal">
      <formula>$I$2</formula>
    </cfRule>
  </conditionalFormatting>
  <conditionalFormatting sqref="I8:I92">
    <cfRule type="cellIs" dxfId="35" priority="65" stopIfTrue="1" operator="equal">
      <formula>$I$2</formula>
    </cfRule>
    <cfRule type="cellIs" dxfId="34" priority="66" stopIfTrue="1" operator="equal">
      <formula>0</formula>
    </cfRule>
  </conditionalFormatting>
  <conditionalFormatting sqref="B4:L4">
    <cfRule type="cellIs" dxfId="33" priority="67" stopIfTrue="1" operator="notEqual">
      <formula>$P$3</formula>
    </cfRule>
  </conditionalFormatting>
  <conditionalFormatting sqref="D8:G47">
    <cfRule type="cellIs" dxfId="32" priority="17" stopIfTrue="1" operator="equal">
      <formula>0</formula>
    </cfRule>
  </conditionalFormatting>
  <conditionalFormatting sqref="B1:G2">
    <cfRule type="cellIs" dxfId="31" priority="93" stopIfTrue="1" operator="equal">
      <formula>$N$14</formula>
    </cfRule>
  </conditionalFormatting>
  <conditionalFormatting sqref="L93:L97">
    <cfRule type="cellIs" dxfId="30" priority="5" stopIfTrue="1" operator="equal">
      <formula>L92</formula>
    </cfRule>
  </conditionalFormatting>
  <conditionalFormatting sqref="C93:G97">
    <cfRule type="cellIs" dxfId="29" priority="3" stopIfTrue="1" operator="equal">
      <formula>0</formula>
    </cfRule>
  </conditionalFormatting>
  <conditionalFormatting sqref="B93:B97">
    <cfRule type="cellIs" dxfId="28" priority="4" stopIfTrue="1" operator="equal">
      <formula>"Total"</formula>
    </cfRule>
  </conditionalFormatting>
  <conditionalFormatting sqref="J93:J97">
    <cfRule type="cellIs" dxfId="27" priority="2" stopIfTrue="1" operator="equal">
      <formula>$J$98</formula>
    </cfRule>
  </conditionalFormatting>
  <conditionalFormatting sqref="K93:K97">
    <cfRule type="cellIs" dxfId="26" priority="1" stopIfTrue="1" operator="equal">
      <formula>$K$98</formula>
    </cfRule>
  </conditionalFormatting>
  <conditionalFormatting sqref="H93:H97">
    <cfRule type="cellIs" dxfId="25" priority="6" stopIfTrue="1" operator="equal">
      <formula>$I$2</formula>
    </cfRule>
  </conditionalFormatting>
  <conditionalFormatting sqref="I93:I97">
    <cfRule type="cellIs" dxfId="24" priority="7" stopIfTrue="1" operator="equal">
      <formula>$I$2</formula>
    </cfRule>
    <cfRule type="cellIs" dxfId="23" priority="8" stopIfTrue="1" operator="equal">
      <formula>0</formula>
    </cfRule>
  </conditionalFormatting>
  <pageMargins left="0.59055118110236227" right="0.59055118110236227" top="0.39370078740157483" bottom="0.59055118110236227" header="0.51181102362204722" footer="0.51181102362204722"/>
  <pageSetup paperSize="9" scale="95" orientation="landscape" r:id="rId1"/>
  <headerFooter alignWithMargins="0">
    <oddFooter>&amp;L&amp;8Ausdruck vom &amp;D, &amp;T&amp;C&amp;8vereinsbuchhaltung.ch&amp;R&amp;8Seite &amp;P/&amp;N</oddFooter>
  </headerFooter>
  <rowBreaks count="2" manualBreakCount="2">
    <brk id="39" min="1" max="11" man="1"/>
    <brk id="77" min="1" max="11"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F. Liebrich</dc:creator>
  <cp:keywords/>
  <dc:description/>
  <cp:lastModifiedBy>Andreas Liebrich</cp:lastModifiedBy>
  <cp:revision/>
  <dcterms:created xsi:type="dcterms:W3CDTF">2009-08-20T15:58:18Z</dcterms:created>
  <dcterms:modified xsi:type="dcterms:W3CDTF">2024-06-08T09:31:37Z</dcterms:modified>
  <cp:category/>
  <cp:contentStatus/>
</cp:coreProperties>
</file>